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<sst xmlns="http://schemas.openxmlformats.org/spreadsheetml/2006/main" count="471" uniqueCount="211">
  <si>
    <t>ОТЧЕТ ОБ ИСПОЛНЕНИИ БЮДЖЕТА</t>
  </si>
  <si>
    <t>КОДЫ</t>
  </si>
  <si>
    <t xml:space="preserve">Форма по ОКУД </t>
  </si>
  <si>
    <t>0503117</t>
  </si>
  <si>
    <t>на 1 июля 2022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</si>
  <si>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</si>
  <si>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</si>
  <si>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</si>
  <si>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</si>
  <si>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</si>
  <si>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</si>
  <si>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</si>
  <si>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</si>
  <si>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</si>
  <si>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</si>
  <si>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</si>
  <si>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</si>
  <si>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</si>
  <si>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</si>
  <si>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</si>
  <si>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</si>
  <si>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</si>
  <si>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</si>
  <si>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</si>
  <si>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</si>
  <si>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</si>
  <si>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</si>
  <si>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</si>
  <si>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</si>
  <si>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</si>
  <si>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</si>
  <si>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</si>
  <si>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</si>
  <si>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</si>
  <si>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</si>
  <si>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</si>
  <si>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</si>
  <si>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</si>
  <si>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</si>
  <si>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</si>
  <si>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</si>
  <si>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</si>
  <si>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</si>
  <si>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</si>
  <si>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</si>
  <si>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</si>
  <si>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</si>
  <si>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</si>
  <si>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</si>
  <si>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</si>
  <si>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</si>
  <si>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</si>
  <si>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</si>
  <si>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</si>
  <si>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</si>
  <si>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</si>
  <si>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</si>
  <si>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</si>
  <si>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</si>
  <si>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</si>
  <si>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</si>
  <si>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</si>
  <si>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</si>
  <si>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</si>
  <si>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</si>
  <si>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</si>
  <si>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</si>
  <si>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</si>
  <si>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</si>
  <si>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</si>
  <si>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</si>
  <si>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</si>
  <si>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</si>
  <si>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</si>
  <si>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</si>
  <si>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</si>
  <si>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</si>
  <si>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</si>
  <si>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</si>
  <si>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</si>
  <si>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</si>
  <si>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</si>
  <si>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</si>
  <si>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</si>
  <si>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</si>
  <si>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</si>
  <si>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</si>
  <si>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</si>
  <si>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</si>
  <si>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</si>
  <si>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</si>
  <si>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</si>
  <si>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</si>
  <si>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</si>
  <si>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</si>
  <si>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</si>
  <si>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</si>
  <si>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</si>
  <si>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</si>
  <si>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</si>
  <si>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</si>
  <si>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</si>
  <si>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</si>
  <si>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</si>
  <si>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</si>
  <si>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</si>
  <si>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</si>
  <si>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</si>
  <si>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</si>
  <si>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</si>
  <si>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</si>
  <si>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</si>
  <si>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</si>
  <si>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</si>
  <si>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</si>
  <si>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</si>
  <si>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</si>
  <si>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</si>
  <si>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</si>
  <si>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</si>
  <si>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</si>
  <si>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</si>
  <si>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</si>
  <si>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</si>
  <si>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</si>
  <si>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</si>
  <si>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</si>
  <si>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</si>
  <si>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992 0310 0360300000 244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</si>
  <si>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</si>
  <si>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</si>
  <si>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</si>
  <si>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</si>
  <si>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</si>
  <si>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</si>
  <si>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</si>
  <si>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</si>
  <si>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</si>
  <si>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</si>
  <si>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</si>
  <si>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</si>
  <si>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992 0409 2020300000 244</t>
  </si>
  <si>
    <t>992 0412 2100100000 244</t>
  </si>
  <si>
    <t>992 0412 2100200000 244</t>
  </si>
  <si>
    <t>992 0412 2100300000 244</t>
  </si>
  <si>
    <t>Исполнение судебных актов Российской Федерации и мировых соглашений по возмещению причиненного вреда</t>
  </si>
  <si>
    <t>992 0412 2100400000 831</t>
  </si>
  <si>
    <t>992 0412 2100400000 852</t>
  </si>
  <si>
    <t>992 0412 2100400000 853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</si>
  <si>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</si>
  <si>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</si>
  <si>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</si>
  <si>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</si>
  <si>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</si>
  <si>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</si>
  <si>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</si>
  <si>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</si>
  <si>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</si>
  <si>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</si>
  <si>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</si>
  <si>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</si>
  <si>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</si>
  <si>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</si>
  <si>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</si>
  <si>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</si>
  <si>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</si>
  <si>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</si>
  <si>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</si>
  <si>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</si>
  <si>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</si>
  <si>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</si>
  <si>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</si>
  <si>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</si>
  <si>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</si>
  <si>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</si>
  <si>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</si>
  <si>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</si>
  <si>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</si>
  <si>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</si>
  <si>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</si>
  <si>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</si>
  <si>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</si>
  <si>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</si>
  <si>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</si>
  <si>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</si>
  <si>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</si>
  <si>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</si>
  <si>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</si>
  <si>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</si>
  <si>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</si>
  <si>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</si>
  <si>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</si>
  <si>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</si>
  <si>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</si>
  <si>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</si>
  <si>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</si>
  <si>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</si>
  <si>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</si>
  <si>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</si>
  <si>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</si>
  <si>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</si>
  <si>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</si>
  <si>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</si>
  <si>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</si>
  <si>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</si>
  <si>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</si>
  <si>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</si>
  <si>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</si>
  <si>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</si>
  <si>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28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</si>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</sst>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44743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149362700</f>
        <v>149362700</v>
      </c>
      <c r="Q12" s="21"/>
      <c r="R12" s="21"/>
      <c r="S12" s="21">
        <f>49908562.37</f>
        <v>49908562.37</v>
      </c>
      <c r="T12" s="21"/>
      <c r="U12" s="21"/>
      <c r="V12" s="21"/>
      <c r="W12" s="22">
        <f>99454137.63</f>
        <v>99454137.63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2840000</f>
        <v>2840000</v>
      </c>
      <c r="Q13" s="25"/>
      <c r="R13" s="25"/>
      <c r="S13" s="25">
        <f>1551859.34</f>
        <v>1551859.34</v>
      </c>
      <c r="T13" s="25"/>
      <c r="U13" s="25"/>
      <c r="V13" s="25"/>
      <c r="W13" s="26">
        <f>1288140.66</f>
        <v>1288140.66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9135.67</f>
        <v>9135.67</v>
      </c>
      <c r="T14" s="25"/>
      <c r="U14" s="25"/>
      <c r="V14" s="25"/>
      <c r="W14" s="26">
        <f>15864.33</f>
        <v>15864.33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3205400</f>
        <v>3205400</v>
      </c>
      <c r="Q15" s="25"/>
      <c r="R15" s="25"/>
      <c r="S15" s="25">
        <f>1787640.44</f>
        <v>1787640.44</v>
      </c>
      <c r="T15" s="25"/>
      <c r="U15" s="25"/>
      <c r="V15" s="25"/>
      <c r="W15" s="26">
        <f>1417759.56</f>
        <v>1417759.56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-195870.13</f>
        <v>-195870.13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20820000</f>
        <v>20820000</v>
      </c>
      <c r="Q17" s="25"/>
      <c r="R17" s="25"/>
      <c r="S17" s="25">
        <f>11065493.25</f>
        <v>11065493.25</v>
      </c>
      <c r="T17" s="25"/>
      <c r="U17" s="25"/>
      <c r="V17" s="25"/>
      <c r="W17" s="26">
        <f>9754506.75</f>
        <v>9754506.75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500000</f>
        <v>500000</v>
      </c>
      <c r="Q18" s="25"/>
      <c r="R18" s="25"/>
      <c r="S18" s="25">
        <f>287862.08</f>
        <v>287862.08</v>
      </c>
      <c r="T18" s="25"/>
      <c r="U18" s="25"/>
      <c r="V18" s="25"/>
      <c r="W18" s="26">
        <f>212137.92</f>
        <v>212137.92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199033.7</f>
        <v>199033.7</v>
      </c>
      <c r="T19" s="25"/>
      <c r="U19" s="25"/>
      <c r="V19" s="25"/>
      <c r="W19" s="26">
        <f>200966.3</f>
        <v>200966.3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200000</f>
        <v>200000</v>
      </c>
      <c r="Q20" s="25"/>
      <c r="R20" s="25"/>
      <c r="S20" s="25">
        <f>98872.5</f>
        <v>98872.5</v>
      </c>
      <c r="T20" s="25"/>
      <c r="U20" s="25"/>
      <c r="V20" s="25"/>
      <c r="W20" s="26">
        <f>101127.5</f>
        <v>101127.5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1330000</f>
        <v>1330000</v>
      </c>
      <c r="Q21" s="25"/>
      <c r="R21" s="25"/>
      <c r="S21" s="25">
        <f>1355882.4</f>
        <v>1355882.4</v>
      </c>
      <c r="T21" s="25"/>
      <c r="U21" s="25"/>
      <c r="V21" s="25"/>
      <c r="W21" s="28" t="s">
        <v>46</v>
      </c>
      <c r="X21" s="28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46</v>
      </c>
      <c r="Q22" s="27"/>
      <c r="R22" s="27"/>
      <c r="S22" s="25">
        <f>120.04</f>
        <v>120.04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6300000</f>
        <v>6300000</v>
      </c>
      <c r="Q23" s="25"/>
      <c r="R23" s="25"/>
      <c r="S23" s="25">
        <f>1037405.46</f>
        <v>1037405.46</v>
      </c>
      <c r="T23" s="25"/>
      <c r="U23" s="25"/>
      <c r="V23" s="25"/>
      <c r="W23" s="26">
        <f>5262594.54</f>
        <v>5262594.54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1920000</f>
        <v>1920000</v>
      </c>
      <c r="Q24" s="25"/>
      <c r="R24" s="25"/>
      <c r="S24" s="25">
        <f>1364203.68</f>
        <v>1364203.68</v>
      </c>
      <c r="T24" s="25"/>
      <c r="U24" s="25"/>
      <c r="V24" s="25"/>
      <c r="W24" s="26">
        <f>555796.32</f>
        <v>555796.32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7000000</f>
        <v>7000000</v>
      </c>
      <c r="Q25" s="25"/>
      <c r="R25" s="25"/>
      <c r="S25" s="25">
        <f>391751.86</f>
        <v>391751.86</v>
      </c>
      <c r="T25" s="25"/>
      <c r="U25" s="25"/>
      <c r="V25" s="25"/>
      <c r="W25" s="26">
        <f>6608248.14</f>
        <v>6608248.14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128213.4</f>
        <v>128213.4</v>
      </c>
      <c r="T26" s="25"/>
      <c r="U26" s="25"/>
      <c r="V26" s="25"/>
      <c r="W26" s="28" t="s">
        <v>46</v>
      </c>
      <c r="X26" s="28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495900</f>
        <v>495900</v>
      </c>
      <c r="Q27" s="25"/>
      <c r="R27" s="25"/>
      <c r="S27" s="25">
        <f>125535.65</f>
        <v>125535.65</v>
      </c>
      <c r="T27" s="25"/>
      <c r="U27" s="25"/>
      <c r="V27" s="25"/>
      <c r="W27" s="26">
        <f>370364.35</f>
        <v>370364.35</v>
      </c>
      <c r="X27" s="26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3700</f>
        <v>3700</v>
      </c>
      <c r="Q28" s="25"/>
      <c r="R28" s="25"/>
      <c r="S28" s="27" t="s">
        <v>46</v>
      </c>
      <c r="T28" s="27"/>
      <c r="U28" s="27"/>
      <c r="V28" s="27"/>
      <c r="W28" s="26">
        <f>3700</f>
        <v>3700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440000</f>
        <v>440000</v>
      </c>
      <c r="T29" s="25"/>
      <c r="U29" s="25"/>
      <c r="V29" s="25"/>
      <c r="W29" s="28" t="s">
        <v>46</v>
      </c>
      <c r="X29" s="28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6466600</f>
        <v>6466600</v>
      </c>
      <c r="Q30" s="25"/>
      <c r="R30" s="25"/>
      <c r="S30" s="25">
        <f>3233800</f>
        <v>3233800</v>
      </c>
      <c r="T30" s="25"/>
      <c r="U30" s="25"/>
      <c r="V30" s="25"/>
      <c r="W30" s="26">
        <f>3232800</f>
        <v>3232800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912800</f>
        <v>912800</v>
      </c>
      <c r="Q31" s="25"/>
      <c r="R31" s="25"/>
      <c r="S31" s="25">
        <f>456200</f>
        <v>456200</v>
      </c>
      <c r="T31" s="25"/>
      <c r="U31" s="25"/>
      <c r="V31" s="25"/>
      <c r="W31" s="26">
        <f>456600</f>
        <v>456600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61653400</f>
        <v>61653400</v>
      </c>
      <c r="Q32" s="25"/>
      <c r="R32" s="25"/>
      <c r="S32" s="27" t="s">
        <v>46</v>
      </c>
      <c r="T32" s="27"/>
      <c r="U32" s="27"/>
      <c r="V32" s="27"/>
      <c r="W32" s="26">
        <f>61653400</f>
        <v>61653400</v>
      </c>
      <c r="X32" s="26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26390100</f>
        <v>26390100</v>
      </c>
      <c r="Q33" s="25"/>
      <c r="R33" s="25"/>
      <c r="S33" s="25">
        <f>26390100</f>
        <v>26390100</v>
      </c>
      <c r="T33" s="25"/>
      <c r="U33" s="25"/>
      <c r="V33" s="25"/>
      <c r="W33" s="26">
        <f>0</f>
        <v>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7600</f>
        <v>7600</v>
      </c>
      <c r="Q34" s="25"/>
      <c r="R34" s="25"/>
      <c r="S34" s="27" t="s">
        <v>46</v>
      </c>
      <c r="T34" s="27"/>
      <c r="U34" s="27"/>
      <c r="V34" s="27"/>
      <c r="W34" s="26">
        <f>7600</f>
        <v>7600</v>
      </c>
      <c r="X34" s="26"/>
    </row>
    <row r="35" spans="1:24" s="1" customFormat="1" ht="33.7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492200</f>
        <v>492200</v>
      </c>
      <c r="Q35" s="25"/>
      <c r="R35" s="25"/>
      <c r="S35" s="25">
        <f>181323.03</f>
        <v>181323.03</v>
      </c>
      <c r="T35" s="25"/>
      <c r="U35" s="25"/>
      <c r="V35" s="25"/>
      <c r="W35" s="26">
        <f>310876.97</f>
        <v>310876.97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8400000</f>
        <v>8400000</v>
      </c>
      <c r="Q36" s="25"/>
      <c r="R36" s="25"/>
      <c r="S36" s="27" t="s">
        <v>46</v>
      </c>
      <c r="T36" s="27"/>
      <c r="U36" s="27"/>
      <c r="V36" s="27"/>
      <c r="W36" s="26">
        <f>8400000</f>
        <v>8400000</v>
      </c>
      <c r="X36" s="26"/>
    </row>
    <row r="37" spans="1:24" s="1" customFormat="1" ht="54.75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7" t="s">
        <v>46</v>
      </c>
      <c r="Q37" s="27"/>
      <c r="R37" s="27"/>
      <c r="S37" s="25">
        <f>0</f>
        <v>0</v>
      </c>
      <c r="T37" s="25"/>
      <c r="U37" s="25"/>
      <c r="V37" s="25"/>
      <c r="W37" s="28" t="s">
        <v>46</v>
      </c>
      <c r="X37" s="28"/>
    </row>
    <row r="38" spans="1:24" s="1" customFormat="1" ht="13.5" customHeight="1">
      <c r="A38" s="29" t="s">
        <v>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2" t="s">
        <v>89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24</v>
      </c>
      <c r="M40" s="13"/>
      <c r="N40" s="13" t="s">
        <v>90</v>
      </c>
      <c r="O40" s="13"/>
      <c r="P40" s="14" t="s">
        <v>26</v>
      </c>
      <c r="Q40" s="14"/>
      <c r="R40" s="14"/>
      <c r="S40" s="14" t="s">
        <v>27</v>
      </c>
      <c r="T40" s="14"/>
      <c r="U40" s="14"/>
      <c r="V40" s="14"/>
      <c r="W40" s="15" t="s">
        <v>28</v>
      </c>
      <c r="X40" s="15"/>
    </row>
    <row r="41" spans="1:24" s="1" customFormat="1" ht="13.5" customHeight="1">
      <c r="A41" s="16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30</v>
      </c>
      <c r="M41" s="16"/>
      <c r="N41" s="16" t="s">
        <v>31</v>
      </c>
      <c r="O41" s="16"/>
      <c r="P41" s="17" t="s">
        <v>32</v>
      </c>
      <c r="Q41" s="17"/>
      <c r="R41" s="17"/>
      <c r="S41" s="17" t="s">
        <v>33</v>
      </c>
      <c r="T41" s="17"/>
      <c r="U41" s="17"/>
      <c r="V41" s="17"/>
      <c r="W41" s="18" t="s">
        <v>34</v>
      </c>
      <c r="X41" s="18"/>
    </row>
    <row r="42" spans="1:24" s="1" customFormat="1" ht="13.5" customHeight="1">
      <c r="A42" s="19" t="s">
        <v>91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92</v>
      </c>
      <c r="M42" s="20"/>
      <c r="N42" s="20" t="s">
        <v>37</v>
      </c>
      <c r="O42" s="20"/>
      <c r="P42" s="21">
        <f>148896711.59</f>
        <v>148896711.59</v>
      </c>
      <c r="Q42" s="21"/>
      <c r="R42" s="21"/>
      <c r="S42" s="21">
        <f>50852301.63</f>
        <v>50852301.63</v>
      </c>
      <c r="T42" s="21"/>
      <c r="U42" s="21"/>
      <c r="V42" s="21"/>
      <c r="W42" s="22">
        <f>98044409.96</f>
        <v>98044409.96</v>
      </c>
      <c r="X42" s="22"/>
    </row>
    <row r="43" spans="1:24" s="1" customFormat="1" ht="13.5" customHeight="1">
      <c r="A43" s="30" t="s">
        <v>93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92</v>
      </c>
      <c r="M43" s="31"/>
      <c r="N43" s="31" t="s">
        <v>94</v>
      </c>
      <c r="O43" s="31"/>
      <c r="P43" s="32">
        <f>795300</f>
        <v>795300</v>
      </c>
      <c r="Q43" s="32"/>
      <c r="R43" s="32"/>
      <c r="S43" s="32">
        <f>400230</f>
        <v>400230</v>
      </c>
      <c r="T43" s="32"/>
      <c r="U43" s="32"/>
      <c r="V43" s="32"/>
      <c r="W43" s="33">
        <f>395070</f>
        <v>395070</v>
      </c>
      <c r="X43" s="33"/>
    </row>
    <row r="44" spans="1:24" s="1" customFormat="1" ht="33.75" customHeight="1">
      <c r="A44" s="30" t="s">
        <v>95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92</v>
      </c>
      <c r="M44" s="31"/>
      <c r="N44" s="31" t="s">
        <v>96</v>
      </c>
      <c r="O44" s="31"/>
      <c r="P44" s="32">
        <f>240200</f>
        <v>240200</v>
      </c>
      <c r="Q44" s="32"/>
      <c r="R44" s="32"/>
      <c r="S44" s="32">
        <f>120869.46</f>
        <v>120869.46</v>
      </c>
      <c r="T44" s="32"/>
      <c r="U44" s="32"/>
      <c r="V44" s="32"/>
      <c r="W44" s="33">
        <f>119330.54</f>
        <v>119330.54</v>
      </c>
      <c r="X44" s="33"/>
    </row>
    <row r="45" spans="1:24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92</v>
      </c>
      <c r="M45" s="31"/>
      <c r="N45" s="31" t="s">
        <v>97</v>
      </c>
      <c r="O45" s="31"/>
      <c r="P45" s="32">
        <f>5017100</f>
        <v>5017100</v>
      </c>
      <c r="Q45" s="32"/>
      <c r="R45" s="32"/>
      <c r="S45" s="32">
        <f>2655657.48</f>
        <v>2655657.48</v>
      </c>
      <c r="T45" s="32"/>
      <c r="U45" s="32"/>
      <c r="V45" s="32"/>
      <c r="W45" s="33">
        <f>2361442.52</f>
        <v>2361442.52</v>
      </c>
      <c r="X45" s="33"/>
    </row>
    <row r="46" spans="1:24" s="1" customFormat="1" ht="33.7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92</v>
      </c>
      <c r="M46" s="31"/>
      <c r="N46" s="31" t="s">
        <v>98</v>
      </c>
      <c r="O46" s="31"/>
      <c r="P46" s="32">
        <f>1515200</f>
        <v>1515200</v>
      </c>
      <c r="Q46" s="32"/>
      <c r="R46" s="32"/>
      <c r="S46" s="32">
        <f>799057.56</f>
        <v>799057.56</v>
      </c>
      <c r="T46" s="32"/>
      <c r="U46" s="32"/>
      <c r="V46" s="32"/>
      <c r="W46" s="33">
        <f>716142.44</f>
        <v>716142.44</v>
      </c>
      <c r="X46" s="33"/>
    </row>
    <row r="47" spans="1:24" s="1" customFormat="1" ht="13.5" customHeight="1">
      <c r="A47" s="30" t="s">
        <v>99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92</v>
      </c>
      <c r="M47" s="31"/>
      <c r="N47" s="31" t="s">
        <v>100</v>
      </c>
      <c r="O47" s="31"/>
      <c r="P47" s="32">
        <f>330000</f>
        <v>330000</v>
      </c>
      <c r="Q47" s="32"/>
      <c r="R47" s="32"/>
      <c r="S47" s="32">
        <f>187794.05</f>
        <v>187794.05</v>
      </c>
      <c r="T47" s="32"/>
      <c r="U47" s="32"/>
      <c r="V47" s="32"/>
      <c r="W47" s="33">
        <f>142205.95</f>
        <v>142205.95</v>
      </c>
      <c r="X47" s="33"/>
    </row>
    <row r="48" spans="1:24" s="1" customFormat="1" ht="13.5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92</v>
      </c>
      <c r="M48" s="31"/>
      <c r="N48" s="31" t="s">
        <v>102</v>
      </c>
      <c r="O48" s="31"/>
      <c r="P48" s="32">
        <f>4500</f>
        <v>4500</v>
      </c>
      <c r="Q48" s="32"/>
      <c r="R48" s="32"/>
      <c r="S48" s="34" t="s">
        <v>46</v>
      </c>
      <c r="T48" s="34"/>
      <c r="U48" s="34"/>
      <c r="V48" s="34"/>
      <c r="W48" s="33">
        <f>4500</f>
        <v>4500</v>
      </c>
      <c r="X48" s="33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92</v>
      </c>
      <c r="M49" s="31"/>
      <c r="N49" s="31" t="s">
        <v>104</v>
      </c>
      <c r="O49" s="31"/>
      <c r="P49" s="32">
        <f>25000</f>
        <v>25000</v>
      </c>
      <c r="Q49" s="32"/>
      <c r="R49" s="32"/>
      <c r="S49" s="32">
        <f>14903</f>
        <v>14903</v>
      </c>
      <c r="T49" s="32"/>
      <c r="U49" s="32"/>
      <c r="V49" s="32"/>
      <c r="W49" s="33">
        <f>10097</f>
        <v>10097</v>
      </c>
      <c r="X49" s="33"/>
    </row>
    <row r="50" spans="1:24" s="1" customFormat="1" ht="13.5" customHeight="1">
      <c r="A50" s="30" t="s">
        <v>99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92</v>
      </c>
      <c r="M50" s="31"/>
      <c r="N50" s="31" t="s">
        <v>105</v>
      </c>
      <c r="O50" s="31"/>
      <c r="P50" s="32">
        <f>7600</f>
        <v>7600</v>
      </c>
      <c r="Q50" s="32"/>
      <c r="R50" s="32"/>
      <c r="S50" s="34" t="s">
        <v>46</v>
      </c>
      <c r="T50" s="34"/>
      <c r="U50" s="34"/>
      <c r="V50" s="34"/>
      <c r="W50" s="33">
        <f>7600</f>
        <v>7600</v>
      </c>
      <c r="X50" s="33"/>
    </row>
    <row r="51" spans="1:24" s="1" customFormat="1" ht="13.5" customHeight="1">
      <c r="A51" s="30" t="s">
        <v>106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92</v>
      </c>
      <c r="M51" s="31"/>
      <c r="N51" s="31" t="s">
        <v>107</v>
      </c>
      <c r="O51" s="31"/>
      <c r="P51" s="32">
        <f>362100</f>
        <v>362100</v>
      </c>
      <c r="Q51" s="32"/>
      <c r="R51" s="32"/>
      <c r="S51" s="32">
        <f>362100</f>
        <v>362100</v>
      </c>
      <c r="T51" s="32"/>
      <c r="U51" s="32"/>
      <c r="V51" s="32"/>
      <c r="W51" s="33">
        <f>0</f>
        <v>0</v>
      </c>
      <c r="X51" s="33"/>
    </row>
    <row r="52" spans="1:24" s="1" customFormat="1" ht="13.5" customHeight="1">
      <c r="A52" s="30" t="s">
        <v>108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92</v>
      </c>
      <c r="M52" s="31"/>
      <c r="N52" s="31" t="s">
        <v>109</v>
      </c>
      <c r="O52" s="31"/>
      <c r="P52" s="32">
        <f>40000</f>
        <v>40000</v>
      </c>
      <c r="Q52" s="32"/>
      <c r="R52" s="32"/>
      <c r="S52" s="34" t="s">
        <v>46</v>
      </c>
      <c r="T52" s="34"/>
      <c r="U52" s="34"/>
      <c r="V52" s="34"/>
      <c r="W52" s="33">
        <f>40000</f>
        <v>40000</v>
      </c>
      <c r="X52" s="33"/>
    </row>
    <row r="53" spans="1:24" s="1" customFormat="1" ht="13.5" customHeight="1">
      <c r="A53" s="30" t="s">
        <v>99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92</v>
      </c>
      <c r="M53" s="31"/>
      <c r="N53" s="31" t="s">
        <v>110</v>
      </c>
      <c r="O53" s="31"/>
      <c r="P53" s="32">
        <f>226300</f>
        <v>226300</v>
      </c>
      <c r="Q53" s="32"/>
      <c r="R53" s="32"/>
      <c r="S53" s="32">
        <f>132000</f>
        <v>132000</v>
      </c>
      <c r="T53" s="32"/>
      <c r="U53" s="32"/>
      <c r="V53" s="32"/>
      <c r="W53" s="33">
        <f>94300</f>
        <v>94300</v>
      </c>
      <c r="X53" s="33"/>
    </row>
    <row r="54" spans="1:24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92</v>
      </c>
      <c r="M54" s="31"/>
      <c r="N54" s="31" t="s">
        <v>112</v>
      </c>
      <c r="O54" s="31"/>
      <c r="P54" s="32">
        <f>4928300</f>
        <v>4928300</v>
      </c>
      <c r="Q54" s="32"/>
      <c r="R54" s="32"/>
      <c r="S54" s="32">
        <f>2654334.34</f>
        <v>2654334.34</v>
      </c>
      <c r="T54" s="32"/>
      <c r="U54" s="32"/>
      <c r="V54" s="32"/>
      <c r="W54" s="33">
        <f>2273965.66</f>
        <v>2273965.66</v>
      </c>
      <c r="X54" s="33"/>
    </row>
    <row r="55" spans="1:24" s="1" customFormat="1" ht="24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92</v>
      </c>
      <c r="M55" s="31"/>
      <c r="N55" s="31" t="s">
        <v>114</v>
      </c>
      <c r="O55" s="31"/>
      <c r="P55" s="32">
        <f>1488400</f>
        <v>1488400</v>
      </c>
      <c r="Q55" s="32"/>
      <c r="R55" s="32"/>
      <c r="S55" s="32">
        <f>726859.09</f>
        <v>726859.09</v>
      </c>
      <c r="T55" s="32"/>
      <c r="U55" s="32"/>
      <c r="V55" s="32"/>
      <c r="W55" s="33">
        <f>761540.91</f>
        <v>761540.91</v>
      </c>
      <c r="X55" s="33"/>
    </row>
    <row r="56" spans="1:24" s="1" customFormat="1" ht="13.5" customHeight="1">
      <c r="A56" s="30" t="s">
        <v>99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92</v>
      </c>
      <c r="M56" s="31"/>
      <c r="N56" s="31" t="s">
        <v>115</v>
      </c>
      <c r="O56" s="31"/>
      <c r="P56" s="32">
        <f>2110000</f>
        <v>2110000</v>
      </c>
      <c r="Q56" s="32"/>
      <c r="R56" s="32"/>
      <c r="S56" s="32">
        <f>1128750.04</f>
        <v>1128750.04</v>
      </c>
      <c r="T56" s="32"/>
      <c r="U56" s="32"/>
      <c r="V56" s="32"/>
      <c r="W56" s="33">
        <f>981249.96</f>
        <v>981249.96</v>
      </c>
      <c r="X56" s="33"/>
    </row>
    <row r="57" spans="1:24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92</v>
      </c>
      <c r="M57" s="31"/>
      <c r="N57" s="31" t="s">
        <v>117</v>
      </c>
      <c r="O57" s="31"/>
      <c r="P57" s="32">
        <f>990000</f>
        <v>990000</v>
      </c>
      <c r="Q57" s="32"/>
      <c r="R57" s="32"/>
      <c r="S57" s="32">
        <f>382403.49</f>
        <v>382403.49</v>
      </c>
      <c r="T57" s="32"/>
      <c r="U57" s="32"/>
      <c r="V57" s="32"/>
      <c r="W57" s="33">
        <f>607596.51</f>
        <v>607596.51</v>
      </c>
      <c r="X57" s="33"/>
    </row>
    <row r="58" spans="1:24" s="1" customFormat="1" ht="13.5" customHeight="1">
      <c r="A58" s="30" t="s">
        <v>101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92</v>
      </c>
      <c r="M58" s="31"/>
      <c r="N58" s="31" t="s">
        <v>118</v>
      </c>
      <c r="O58" s="31"/>
      <c r="P58" s="32">
        <f>8500</f>
        <v>8500</v>
      </c>
      <c r="Q58" s="32"/>
      <c r="R58" s="32"/>
      <c r="S58" s="32">
        <f>3936</f>
        <v>3936</v>
      </c>
      <c r="T58" s="32"/>
      <c r="U58" s="32"/>
      <c r="V58" s="32"/>
      <c r="W58" s="33">
        <f>4564</f>
        <v>4564</v>
      </c>
      <c r="X58" s="33"/>
    </row>
    <row r="59" spans="1:24" s="1" customFormat="1" ht="13.5" customHeight="1">
      <c r="A59" s="30" t="s">
        <v>103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92</v>
      </c>
      <c r="M59" s="31"/>
      <c r="N59" s="31" t="s">
        <v>119</v>
      </c>
      <c r="O59" s="31"/>
      <c r="P59" s="32">
        <f>12500</f>
        <v>12500</v>
      </c>
      <c r="Q59" s="32"/>
      <c r="R59" s="32"/>
      <c r="S59" s="34" t="s">
        <v>46</v>
      </c>
      <c r="T59" s="34"/>
      <c r="U59" s="34"/>
      <c r="V59" s="34"/>
      <c r="W59" s="33">
        <f>12500</f>
        <v>12500</v>
      </c>
      <c r="X59" s="33"/>
    </row>
    <row r="60" spans="1:24" s="1" customFormat="1" ht="13.5" customHeight="1">
      <c r="A60" s="30" t="s">
        <v>101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92</v>
      </c>
      <c r="M60" s="31"/>
      <c r="N60" s="31" t="s">
        <v>120</v>
      </c>
      <c r="O60" s="31"/>
      <c r="P60" s="32">
        <f>21000</f>
        <v>21000</v>
      </c>
      <c r="Q60" s="32"/>
      <c r="R60" s="32"/>
      <c r="S60" s="34" t="s">
        <v>46</v>
      </c>
      <c r="T60" s="34"/>
      <c r="U60" s="34"/>
      <c r="V60" s="34"/>
      <c r="W60" s="33">
        <f>21000</f>
        <v>21000</v>
      </c>
      <c r="X60" s="33"/>
    </row>
    <row r="61" spans="1:24" s="1" customFormat="1" ht="13.5" customHeight="1">
      <c r="A61" s="30" t="s">
        <v>103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92</v>
      </c>
      <c r="M61" s="31"/>
      <c r="N61" s="31" t="s">
        <v>121</v>
      </c>
      <c r="O61" s="31"/>
      <c r="P61" s="32">
        <f>3000</f>
        <v>3000</v>
      </c>
      <c r="Q61" s="32"/>
      <c r="R61" s="32"/>
      <c r="S61" s="34" t="s">
        <v>46</v>
      </c>
      <c r="T61" s="34"/>
      <c r="U61" s="34"/>
      <c r="V61" s="34"/>
      <c r="W61" s="33">
        <f>3000</f>
        <v>3000</v>
      </c>
      <c r="X61" s="33"/>
    </row>
    <row r="62" spans="1:24" s="1" customFormat="1" ht="13.5" customHeight="1">
      <c r="A62" s="30" t="s">
        <v>93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92</v>
      </c>
      <c r="M62" s="31"/>
      <c r="N62" s="31" t="s">
        <v>122</v>
      </c>
      <c r="O62" s="31"/>
      <c r="P62" s="32">
        <f>0</f>
        <v>0</v>
      </c>
      <c r="Q62" s="32"/>
      <c r="R62" s="32"/>
      <c r="S62" s="34" t="s">
        <v>46</v>
      </c>
      <c r="T62" s="34"/>
      <c r="U62" s="34"/>
      <c r="V62" s="34"/>
      <c r="W62" s="35" t="s">
        <v>46</v>
      </c>
      <c r="X62" s="35"/>
    </row>
    <row r="63" spans="1:24" s="1" customFormat="1" ht="33.75" customHeight="1">
      <c r="A63" s="30" t="s">
        <v>95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92</v>
      </c>
      <c r="M63" s="31"/>
      <c r="N63" s="31" t="s">
        <v>123</v>
      </c>
      <c r="O63" s="31"/>
      <c r="P63" s="32">
        <f>0</f>
        <v>0</v>
      </c>
      <c r="Q63" s="32"/>
      <c r="R63" s="32"/>
      <c r="S63" s="34" t="s">
        <v>46</v>
      </c>
      <c r="T63" s="34"/>
      <c r="U63" s="34"/>
      <c r="V63" s="34"/>
      <c r="W63" s="35" t="s">
        <v>46</v>
      </c>
      <c r="X63" s="35"/>
    </row>
    <row r="64" spans="1:24" s="1" customFormat="1" ht="13.5" customHeight="1">
      <c r="A64" s="30" t="s">
        <v>93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92</v>
      </c>
      <c r="M64" s="31"/>
      <c r="N64" s="31" t="s">
        <v>124</v>
      </c>
      <c r="O64" s="31"/>
      <c r="P64" s="32">
        <f>378033.79</f>
        <v>378033.79</v>
      </c>
      <c r="Q64" s="32"/>
      <c r="R64" s="32"/>
      <c r="S64" s="32">
        <f>139265</f>
        <v>139265</v>
      </c>
      <c r="T64" s="32"/>
      <c r="U64" s="32"/>
      <c r="V64" s="32"/>
      <c r="W64" s="33">
        <f>238768.79</f>
        <v>238768.79</v>
      </c>
      <c r="X64" s="33"/>
    </row>
    <row r="65" spans="1:24" s="1" customFormat="1" ht="33.75" customHeight="1">
      <c r="A65" s="30" t="s">
        <v>95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92</v>
      </c>
      <c r="M65" s="31"/>
      <c r="N65" s="31" t="s">
        <v>125</v>
      </c>
      <c r="O65" s="31"/>
      <c r="P65" s="32">
        <f>114166.21</f>
        <v>114166.21</v>
      </c>
      <c r="Q65" s="32"/>
      <c r="R65" s="32"/>
      <c r="S65" s="32">
        <f>42058.03</f>
        <v>42058.03</v>
      </c>
      <c r="T65" s="32"/>
      <c r="U65" s="32"/>
      <c r="V65" s="32"/>
      <c r="W65" s="33">
        <f>72108.18</f>
        <v>72108.18</v>
      </c>
      <c r="X65" s="33"/>
    </row>
    <row r="66" spans="1:24" s="1" customFormat="1" ht="13.5" customHeight="1">
      <c r="A66" s="30" t="s">
        <v>99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92</v>
      </c>
      <c r="M66" s="31"/>
      <c r="N66" s="31" t="s">
        <v>126</v>
      </c>
      <c r="O66" s="31"/>
      <c r="P66" s="32">
        <f>30000</f>
        <v>30000</v>
      </c>
      <c r="Q66" s="32"/>
      <c r="R66" s="32"/>
      <c r="S66" s="32">
        <f>12615.98</f>
        <v>12615.98</v>
      </c>
      <c r="T66" s="32"/>
      <c r="U66" s="32"/>
      <c r="V66" s="32"/>
      <c r="W66" s="33">
        <f>17384.02</f>
        <v>17384.02</v>
      </c>
      <c r="X66" s="33"/>
    </row>
    <row r="67" spans="1:24" s="1" customFormat="1" ht="13.5" customHeight="1">
      <c r="A67" s="30" t="s">
        <v>99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92</v>
      </c>
      <c r="M67" s="31"/>
      <c r="N67" s="31" t="s">
        <v>127</v>
      </c>
      <c r="O67" s="31"/>
      <c r="P67" s="32">
        <f>97500</f>
        <v>97500</v>
      </c>
      <c r="Q67" s="32"/>
      <c r="R67" s="32"/>
      <c r="S67" s="32">
        <f>97440</f>
        <v>97440</v>
      </c>
      <c r="T67" s="32"/>
      <c r="U67" s="32"/>
      <c r="V67" s="32"/>
      <c r="W67" s="33">
        <f>60</f>
        <v>60</v>
      </c>
      <c r="X67" s="33"/>
    </row>
    <row r="68" spans="1:24" s="1" customFormat="1" ht="13.5" customHeight="1">
      <c r="A68" s="30" t="s">
        <v>99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92</v>
      </c>
      <c r="M68" s="31"/>
      <c r="N68" s="31" t="s">
        <v>128</v>
      </c>
      <c r="O68" s="31"/>
      <c r="P68" s="32">
        <f>70000</f>
        <v>70000</v>
      </c>
      <c r="Q68" s="32"/>
      <c r="R68" s="32"/>
      <c r="S68" s="32">
        <f>49000</f>
        <v>49000</v>
      </c>
      <c r="T68" s="32"/>
      <c r="U68" s="32"/>
      <c r="V68" s="32"/>
      <c r="W68" s="33">
        <f>21000</f>
        <v>21000</v>
      </c>
      <c r="X68" s="33"/>
    </row>
    <row r="69" spans="1:24" s="1" customFormat="1" ht="13.5" customHeight="1">
      <c r="A69" s="30" t="s">
        <v>99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92</v>
      </c>
      <c r="M69" s="31"/>
      <c r="N69" s="31" t="s">
        <v>129</v>
      </c>
      <c r="O69" s="31"/>
      <c r="P69" s="32">
        <f>50000</f>
        <v>50000</v>
      </c>
      <c r="Q69" s="32"/>
      <c r="R69" s="32"/>
      <c r="S69" s="32">
        <f>21000</f>
        <v>21000</v>
      </c>
      <c r="T69" s="32"/>
      <c r="U69" s="32"/>
      <c r="V69" s="32"/>
      <c r="W69" s="33">
        <f>29000</f>
        <v>29000</v>
      </c>
      <c r="X69" s="33"/>
    </row>
    <row r="70" spans="1:24" s="1" customFormat="1" ht="13.5" customHeight="1">
      <c r="A70" s="30" t="s">
        <v>99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92</v>
      </c>
      <c r="M70" s="31"/>
      <c r="N70" s="31" t="s">
        <v>130</v>
      </c>
      <c r="O70" s="31"/>
      <c r="P70" s="32">
        <f>5000</f>
        <v>5000</v>
      </c>
      <c r="Q70" s="32"/>
      <c r="R70" s="32"/>
      <c r="S70" s="34" t="s">
        <v>46</v>
      </c>
      <c r="T70" s="34"/>
      <c r="U70" s="34"/>
      <c r="V70" s="34"/>
      <c r="W70" s="33">
        <f>5000</f>
        <v>5000</v>
      </c>
      <c r="X70" s="33"/>
    </row>
    <row r="71" spans="1:24" s="1" customFormat="1" ht="13.5" customHeight="1">
      <c r="A71" s="30" t="s">
        <v>108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92</v>
      </c>
      <c r="M71" s="31"/>
      <c r="N71" s="31" t="s">
        <v>131</v>
      </c>
      <c r="O71" s="31"/>
      <c r="P71" s="32">
        <f>20000</f>
        <v>20000</v>
      </c>
      <c r="Q71" s="32"/>
      <c r="R71" s="32"/>
      <c r="S71" s="34" t="s">
        <v>46</v>
      </c>
      <c r="T71" s="34"/>
      <c r="U71" s="34"/>
      <c r="V71" s="34"/>
      <c r="W71" s="33">
        <f>20000</f>
        <v>20000</v>
      </c>
      <c r="X71" s="33"/>
    </row>
    <row r="72" spans="1:24" s="1" customFormat="1" ht="13.5" customHeight="1">
      <c r="A72" s="30" t="s">
        <v>132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92</v>
      </c>
      <c r="M72" s="31"/>
      <c r="N72" s="31" t="s">
        <v>133</v>
      </c>
      <c r="O72" s="31"/>
      <c r="P72" s="32">
        <f>60000</f>
        <v>60000</v>
      </c>
      <c r="Q72" s="32"/>
      <c r="R72" s="32"/>
      <c r="S72" s="32">
        <f>13111.35</f>
        <v>13111.35</v>
      </c>
      <c r="T72" s="32"/>
      <c r="U72" s="32"/>
      <c r="V72" s="32"/>
      <c r="W72" s="33">
        <f>46888.65</f>
        <v>46888.65</v>
      </c>
      <c r="X72" s="33"/>
    </row>
    <row r="73" spans="1:24" s="1" customFormat="1" ht="13.5" customHeight="1">
      <c r="A73" s="30" t="s">
        <v>99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92</v>
      </c>
      <c r="M73" s="31"/>
      <c r="N73" s="31" t="s">
        <v>134</v>
      </c>
      <c r="O73" s="31"/>
      <c r="P73" s="32">
        <f>2831400</f>
        <v>2831400</v>
      </c>
      <c r="Q73" s="32"/>
      <c r="R73" s="32"/>
      <c r="S73" s="32">
        <f>1197206.03</f>
        <v>1197206.03</v>
      </c>
      <c r="T73" s="32"/>
      <c r="U73" s="32"/>
      <c r="V73" s="32"/>
      <c r="W73" s="33">
        <f>1634193.97</f>
        <v>1634193.97</v>
      </c>
      <c r="X73" s="33"/>
    </row>
    <row r="74" spans="1:24" s="1" customFormat="1" ht="24" customHeight="1">
      <c r="A74" s="30" t="s">
        <v>135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92</v>
      </c>
      <c r="M74" s="31"/>
      <c r="N74" s="31" t="s">
        <v>136</v>
      </c>
      <c r="O74" s="31"/>
      <c r="P74" s="32">
        <f>250000</f>
        <v>250000</v>
      </c>
      <c r="Q74" s="32"/>
      <c r="R74" s="32"/>
      <c r="S74" s="32">
        <f>100000</f>
        <v>100000</v>
      </c>
      <c r="T74" s="32"/>
      <c r="U74" s="32"/>
      <c r="V74" s="32"/>
      <c r="W74" s="33">
        <f>150000</f>
        <v>150000</v>
      </c>
      <c r="X74" s="33"/>
    </row>
    <row r="75" spans="1:24" s="1" customFormat="1" ht="13.5" customHeight="1">
      <c r="A75" s="30" t="s">
        <v>99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92</v>
      </c>
      <c r="M75" s="31"/>
      <c r="N75" s="31" t="s">
        <v>137</v>
      </c>
      <c r="O75" s="31"/>
      <c r="P75" s="32">
        <f>500000</f>
        <v>500000</v>
      </c>
      <c r="Q75" s="32"/>
      <c r="R75" s="32"/>
      <c r="S75" s="32">
        <f>69011.52</f>
        <v>69011.52</v>
      </c>
      <c r="T75" s="32"/>
      <c r="U75" s="32"/>
      <c r="V75" s="32"/>
      <c r="W75" s="33">
        <f>430988.48</f>
        <v>430988.48</v>
      </c>
      <c r="X75" s="33"/>
    </row>
    <row r="76" spans="1:24" s="1" customFormat="1" ht="13.5" customHeight="1">
      <c r="A76" s="30" t="s">
        <v>99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92</v>
      </c>
      <c r="M76" s="31"/>
      <c r="N76" s="31" t="s">
        <v>138</v>
      </c>
      <c r="O76" s="31"/>
      <c r="P76" s="32">
        <f>28074700</f>
        <v>28074700</v>
      </c>
      <c r="Q76" s="32"/>
      <c r="R76" s="32"/>
      <c r="S76" s="32">
        <f>28074648</f>
        <v>28074648</v>
      </c>
      <c r="T76" s="32"/>
      <c r="U76" s="32"/>
      <c r="V76" s="32"/>
      <c r="W76" s="33">
        <f>52</f>
        <v>52</v>
      </c>
      <c r="X76" s="33"/>
    </row>
    <row r="77" spans="1:24" s="1" customFormat="1" ht="13.5" customHeight="1">
      <c r="A77" s="30" t="s">
        <v>99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92</v>
      </c>
      <c r="M77" s="31"/>
      <c r="N77" s="31" t="s">
        <v>139</v>
      </c>
      <c r="O77" s="31"/>
      <c r="P77" s="32">
        <f>0</f>
        <v>0</v>
      </c>
      <c r="Q77" s="32"/>
      <c r="R77" s="32"/>
      <c r="S77" s="34" t="s">
        <v>46</v>
      </c>
      <c r="T77" s="34"/>
      <c r="U77" s="34"/>
      <c r="V77" s="34"/>
      <c r="W77" s="35" t="s">
        <v>46</v>
      </c>
      <c r="X77" s="35"/>
    </row>
    <row r="78" spans="1:24" s="1" customFormat="1" ht="13.5" customHeight="1">
      <c r="A78" s="30" t="s">
        <v>99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92</v>
      </c>
      <c r="M78" s="31"/>
      <c r="N78" s="31" t="s">
        <v>140</v>
      </c>
      <c r="O78" s="31"/>
      <c r="P78" s="32">
        <f>900000</f>
        <v>900000</v>
      </c>
      <c r="Q78" s="32"/>
      <c r="R78" s="32"/>
      <c r="S78" s="32">
        <f>319403</f>
        <v>319403</v>
      </c>
      <c r="T78" s="32"/>
      <c r="U78" s="32"/>
      <c r="V78" s="32"/>
      <c r="W78" s="33">
        <f>580597</f>
        <v>580597</v>
      </c>
      <c r="X78" s="33"/>
    </row>
    <row r="79" spans="1:24" s="1" customFormat="1" ht="13.5" customHeight="1">
      <c r="A79" s="30" t="s">
        <v>99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92</v>
      </c>
      <c r="M79" s="31"/>
      <c r="N79" s="31" t="s">
        <v>141</v>
      </c>
      <c r="O79" s="31"/>
      <c r="P79" s="32">
        <f>200000</f>
        <v>200000</v>
      </c>
      <c r="Q79" s="32"/>
      <c r="R79" s="32"/>
      <c r="S79" s="34" t="s">
        <v>46</v>
      </c>
      <c r="T79" s="34"/>
      <c r="U79" s="34"/>
      <c r="V79" s="34"/>
      <c r="W79" s="33">
        <f>200000</f>
        <v>200000</v>
      </c>
      <c r="X79" s="33"/>
    </row>
    <row r="80" spans="1:24" s="1" customFormat="1" ht="13.5" customHeight="1">
      <c r="A80" s="30" t="s">
        <v>99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92</v>
      </c>
      <c r="M80" s="31"/>
      <c r="N80" s="31" t="s">
        <v>142</v>
      </c>
      <c r="O80" s="31"/>
      <c r="P80" s="32">
        <f>195000</f>
        <v>195000</v>
      </c>
      <c r="Q80" s="32"/>
      <c r="R80" s="32"/>
      <c r="S80" s="34" t="s">
        <v>46</v>
      </c>
      <c r="T80" s="34"/>
      <c r="U80" s="34"/>
      <c r="V80" s="34"/>
      <c r="W80" s="33">
        <f>195000</f>
        <v>195000</v>
      </c>
      <c r="X80" s="33"/>
    </row>
    <row r="81" spans="1:24" s="1" customFormat="1" ht="13.5" customHeight="1">
      <c r="A81" s="30" t="s">
        <v>99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92</v>
      </c>
      <c r="M81" s="31"/>
      <c r="N81" s="31" t="s">
        <v>143</v>
      </c>
      <c r="O81" s="31"/>
      <c r="P81" s="32">
        <f>50000</f>
        <v>50000</v>
      </c>
      <c r="Q81" s="32"/>
      <c r="R81" s="32"/>
      <c r="S81" s="34" t="s">
        <v>46</v>
      </c>
      <c r="T81" s="34"/>
      <c r="U81" s="34"/>
      <c r="V81" s="34"/>
      <c r="W81" s="33">
        <f>50000</f>
        <v>50000</v>
      </c>
      <c r="X81" s="33"/>
    </row>
    <row r="82" spans="1:24" s="1" customFormat="1" ht="13.5" customHeight="1">
      <c r="A82" s="30" t="s">
        <v>99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92</v>
      </c>
      <c r="M82" s="31"/>
      <c r="N82" s="31" t="s">
        <v>144</v>
      </c>
      <c r="O82" s="31"/>
      <c r="P82" s="32">
        <f>25000</f>
        <v>25000</v>
      </c>
      <c r="Q82" s="32"/>
      <c r="R82" s="32"/>
      <c r="S82" s="32">
        <f>9500</f>
        <v>9500</v>
      </c>
      <c r="T82" s="32"/>
      <c r="U82" s="32"/>
      <c r="V82" s="32"/>
      <c r="W82" s="33">
        <f>15500</f>
        <v>15500</v>
      </c>
      <c r="X82" s="33"/>
    </row>
    <row r="83" spans="1:24" s="1" customFormat="1" ht="24" customHeight="1">
      <c r="A83" s="30" t="s">
        <v>145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92</v>
      </c>
      <c r="M83" s="31"/>
      <c r="N83" s="31" t="s">
        <v>146</v>
      </c>
      <c r="O83" s="31"/>
      <c r="P83" s="32">
        <f>15000</f>
        <v>15000</v>
      </c>
      <c r="Q83" s="32"/>
      <c r="R83" s="32"/>
      <c r="S83" s="32">
        <f>15000</f>
        <v>15000</v>
      </c>
      <c r="T83" s="32"/>
      <c r="U83" s="32"/>
      <c r="V83" s="32"/>
      <c r="W83" s="33">
        <f>0</f>
        <v>0</v>
      </c>
      <c r="X83" s="33"/>
    </row>
    <row r="84" spans="1:24" s="1" customFormat="1" ht="13.5" customHeight="1">
      <c r="A84" s="30" t="s">
        <v>101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92</v>
      </c>
      <c r="M84" s="31"/>
      <c r="N84" s="31" t="s">
        <v>147</v>
      </c>
      <c r="O84" s="31"/>
      <c r="P84" s="32">
        <f>22500</f>
        <v>22500</v>
      </c>
      <c r="Q84" s="32"/>
      <c r="R84" s="32"/>
      <c r="S84" s="32">
        <f>9650</f>
        <v>9650</v>
      </c>
      <c r="T84" s="32"/>
      <c r="U84" s="32"/>
      <c r="V84" s="32"/>
      <c r="W84" s="33">
        <f>12850</f>
        <v>12850</v>
      </c>
      <c r="X84" s="33"/>
    </row>
    <row r="85" spans="1:24" s="1" customFormat="1" ht="13.5" customHeight="1">
      <c r="A85" s="30" t="s">
        <v>103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92</v>
      </c>
      <c r="M85" s="31"/>
      <c r="N85" s="31" t="s">
        <v>148</v>
      </c>
      <c r="O85" s="31"/>
      <c r="P85" s="32">
        <f>0</f>
        <v>0</v>
      </c>
      <c r="Q85" s="32"/>
      <c r="R85" s="32"/>
      <c r="S85" s="34" t="s">
        <v>46</v>
      </c>
      <c r="T85" s="34"/>
      <c r="U85" s="34"/>
      <c r="V85" s="34"/>
      <c r="W85" s="35" t="s">
        <v>46</v>
      </c>
      <c r="X85" s="35"/>
    </row>
    <row r="86" spans="1:24" s="1" customFormat="1" ht="13.5" customHeight="1">
      <c r="A86" s="30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92</v>
      </c>
      <c r="M86" s="31"/>
      <c r="N86" s="31" t="s">
        <v>149</v>
      </c>
      <c r="O86" s="31"/>
      <c r="P86" s="32">
        <f>1980000</f>
        <v>1980000</v>
      </c>
      <c r="Q86" s="32"/>
      <c r="R86" s="32"/>
      <c r="S86" s="32">
        <f>600000</f>
        <v>600000</v>
      </c>
      <c r="T86" s="32"/>
      <c r="U86" s="32"/>
      <c r="V86" s="32"/>
      <c r="W86" s="33">
        <f>1380000</f>
        <v>1380000</v>
      </c>
      <c r="X86" s="33"/>
    </row>
    <row r="87" spans="1:24" s="1" customFormat="1" ht="33.75" customHeight="1">
      <c r="A87" s="30" t="s">
        <v>150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92</v>
      </c>
      <c r="M87" s="31"/>
      <c r="N87" s="31" t="s">
        <v>151</v>
      </c>
      <c r="O87" s="31"/>
      <c r="P87" s="32">
        <f>200000</f>
        <v>200000</v>
      </c>
      <c r="Q87" s="32"/>
      <c r="R87" s="32"/>
      <c r="S87" s="34" t="s">
        <v>46</v>
      </c>
      <c r="T87" s="34"/>
      <c r="U87" s="34"/>
      <c r="V87" s="34"/>
      <c r="W87" s="33">
        <f>200000</f>
        <v>200000</v>
      </c>
      <c r="X87" s="33"/>
    </row>
    <row r="88" spans="1:24" s="1" customFormat="1" ht="24" customHeight="1">
      <c r="A88" s="30" t="s">
        <v>135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92</v>
      </c>
      <c r="M88" s="31"/>
      <c r="N88" s="31" t="s">
        <v>152</v>
      </c>
      <c r="O88" s="31"/>
      <c r="P88" s="32">
        <f>43300</f>
        <v>43300</v>
      </c>
      <c r="Q88" s="32"/>
      <c r="R88" s="32"/>
      <c r="S88" s="32">
        <f>43261.41</f>
        <v>43261.41</v>
      </c>
      <c r="T88" s="32"/>
      <c r="U88" s="32"/>
      <c r="V88" s="32"/>
      <c r="W88" s="33">
        <f>38.59</f>
        <v>38.59</v>
      </c>
      <c r="X88" s="33"/>
    </row>
    <row r="89" spans="1:24" s="1" customFormat="1" ht="13.5" customHeight="1">
      <c r="A89" s="30" t="s">
        <v>99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92</v>
      </c>
      <c r="M89" s="31"/>
      <c r="N89" s="31" t="s">
        <v>153</v>
      </c>
      <c r="O89" s="31"/>
      <c r="P89" s="32">
        <f>245800</f>
        <v>245800</v>
      </c>
      <c r="Q89" s="32"/>
      <c r="R89" s="32"/>
      <c r="S89" s="32">
        <f>145771.31</f>
        <v>145771.31</v>
      </c>
      <c r="T89" s="32"/>
      <c r="U89" s="32"/>
      <c r="V89" s="32"/>
      <c r="W89" s="33">
        <f>100028.69</f>
        <v>100028.69</v>
      </c>
      <c r="X89" s="33"/>
    </row>
    <row r="90" spans="1:24" s="1" customFormat="1" ht="13.5" customHeight="1">
      <c r="A90" s="30" t="s">
        <v>99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92</v>
      </c>
      <c r="M90" s="31"/>
      <c r="N90" s="31" t="s">
        <v>154</v>
      </c>
      <c r="O90" s="31"/>
      <c r="P90" s="32">
        <f>100000</f>
        <v>100000</v>
      </c>
      <c r="Q90" s="32"/>
      <c r="R90" s="32"/>
      <c r="S90" s="32">
        <f>27720.89</f>
        <v>27720.89</v>
      </c>
      <c r="T90" s="32"/>
      <c r="U90" s="32"/>
      <c r="V90" s="32"/>
      <c r="W90" s="33">
        <f>72279.11</f>
        <v>72279.11</v>
      </c>
      <c r="X90" s="33"/>
    </row>
    <row r="91" spans="1:24" s="1" customFormat="1" ht="13.5" customHeight="1">
      <c r="A91" s="30" t="s">
        <v>99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92</v>
      </c>
      <c r="M91" s="31"/>
      <c r="N91" s="31" t="s">
        <v>155</v>
      </c>
      <c r="O91" s="31"/>
      <c r="P91" s="32">
        <f>600000</f>
        <v>600000</v>
      </c>
      <c r="Q91" s="32"/>
      <c r="R91" s="32"/>
      <c r="S91" s="32">
        <f>30592</f>
        <v>30592</v>
      </c>
      <c r="T91" s="32"/>
      <c r="U91" s="32"/>
      <c r="V91" s="32"/>
      <c r="W91" s="33">
        <f>569408</f>
        <v>569408</v>
      </c>
      <c r="X91" s="33"/>
    </row>
    <row r="92" spans="1:24" s="1" customFormat="1" ht="13.5" customHeight="1">
      <c r="A92" s="30" t="s">
        <v>116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92</v>
      </c>
      <c r="M92" s="31"/>
      <c r="N92" s="31" t="s">
        <v>156</v>
      </c>
      <c r="O92" s="31"/>
      <c r="P92" s="32">
        <f>1800000</f>
        <v>1800000</v>
      </c>
      <c r="Q92" s="32"/>
      <c r="R92" s="32"/>
      <c r="S92" s="32">
        <f>584749.21</f>
        <v>584749.21</v>
      </c>
      <c r="T92" s="32"/>
      <c r="U92" s="32"/>
      <c r="V92" s="32"/>
      <c r="W92" s="33">
        <f>1215250.79</f>
        <v>1215250.79</v>
      </c>
      <c r="X92" s="33"/>
    </row>
    <row r="93" spans="1:24" s="1" customFormat="1" ht="13.5" customHeight="1">
      <c r="A93" s="30" t="s">
        <v>99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92</v>
      </c>
      <c r="M93" s="31"/>
      <c r="N93" s="31" t="s">
        <v>157</v>
      </c>
      <c r="O93" s="31"/>
      <c r="P93" s="32">
        <f>800000</f>
        <v>800000</v>
      </c>
      <c r="Q93" s="32"/>
      <c r="R93" s="32"/>
      <c r="S93" s="32">
        <f>264766.3</f>
        <v>264766.3</v>
      </c>
      <c r="T93" s="32"/>
      <c r="U93" s="32"/>
      <c r="V93" s="32"/>
      <c r="W93" s="33">
        <f>535233.7</f>
        <v>535233.7</v>
      </c>
      <c r="X93" s="33"/>
    </row>
    <row r="94" spans="1:24" s="1" customFormat="1" ht="13.5" customHeight="1">
      <c r="A94" s="30" t="s">
        <v>99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92</v>
      </c>
      <c r="M94" s="31"/>
      <c r="N94" s="31" t="s">
        <v>158</v>
      </c>
      <c r="O94" s="31"/>
      <c r="P94" s="32">
        <f>10000</f>
        <v>10000</v>
      </c>
      <c r="Q94" s="32"/>
      <c r="R94" s="32"/>
      <c r="S94" s="34" t="s">
        <v>46</v>
      </c>
      <c r="T94" s="34"/>
      <c r="U94" s="34"/>
      <c r="V94" s="34"/>
      <c r="W94" s="33">
        <f>10000</f>
        <v>10000</v>
      </c>
      <c r="X94" s="33"/>
    </row>
    <row r="95" spans="1:24" s="1" customFormat="1" ht="13.5" customHeight="1">
      <c r="A95" s="30" t="s">
        <v>99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92</v>
      </c>
      <c r="M95" s="31"/>
      <c r="N95" s="31" t="s">
        <v>159</v>
      </c>
      <c r="O95" s="31"/>
      <c r="P95" s="32">
        <f>150000</f>
        <v>150000</v>
      </c>
      <c r="Q95" s="32"/>
      <c r="R95" s="32"/>
      <c r="S95" s="34" t="s">
        <v>46</v>
      </c>
      <c r="T95" s="34"/>
      <c r="U95" s="34"/>
      <c r="V95" s="34"/>
      <c r="W95" s="33">
        <f>150000</f>
        <v>150000</v>
      </c>
      <c r="X95" s="33"/>
    </row>
    <row r="96" spans="1:24" s="1" customFormat="1" ht="13.5" customHeight="1">
      <c r="A96" s="30" t="s">
        <v>99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92</v>
      </c>
      <c r="M96" s="31"/>
      <c r="N96" s="31" t="s">
        <v>160</v>
      </c>
      <c r="O96" s="31"/>
      <c r="P96" s="32">
        <f>100000</f>
        <v>100000</v>
      </c>
      <c r="Q96" s="32"/>
      <c r="R96" s="32"/>
      <c r="S96" s="32">
        <f>99700</f>
        <v>99700</v>
      </c>
      <c r="T96" s="32"/>
      <c r="U96" s="32"/>
      <c r="V96" s="32"/>
      <c r="W96" s="33">
        <f>300</f>
        <v>300</v>
      </c>
      <c r="X96" s="33"/>
    </row>
    <row r="97" spans="1:24" s="1" customFormat="1" ht="13.5" customHeight="1">
      <c r="A97" s="30" t="s">
        <v>99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92</v>
      </c>
      <c r="M97" s="31"/>
      <c r="N97" s="31" t="s">
        <v>161</v>
      </c>
      <c r="O97" s="31"/>
      <c r="P97" s="32">
        <f>400000</f>
        <v>400000</v>
      </c>
      <c r="Q97" s="32"/>
      <c r="R97" s="32"/>
      <c r="S97" s="32">
        <f>28570.77</f>
        <v>28570.77</v>
      </c>
      <c r="T97" s="32"/>
      <c r="U97" s="32"/>
      <c r="V97" s="32"/>
      <c r="W97" s="33">
        <f>371429.23</f>
        <v>371429.23</v>
      </c>
      <c r="X97" s="33"/>
    </row>
    <row r="98" spans="1:24" s="1" customFormat="1" ht="13.5" customHeight="1">
      <c r="A98" s="30" t="s">
        <v>99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92</v>
      </c>
      <c r="M98" s="31"/>
      <c r="N98" s="31" t="s">
        <v>162</v>
      </c>
      <c r="O98" s="31"/>
      <c r="P98" s="32">
        <f>2765811.59</f>
        <v>2765811.59</v>
      </c>
      <c r="Q98" s="32"/>
      <c r="R98" s="32"/>
      <c r="S98" s="32">
        <f>1880088.86</f>
        <v>1880088.86</v>
      </c>
      <c r="T98" s="32"/>
      <c r="U98" s="32"/>
      <c r="V98" s="32"/>
      <c r="W98" s="33">
        <f>885722.73</f>
        <v>885722.73</v>
      </c>
      <c r="X98" s="33"/>
    </row>
    <row r="99" spans="1:24" s="1" customFormat="1" ht="13.5" customHeight="1">
      <c r="A99" s="30" t="s">
        <v>99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92</v>
      </c>
      <c r="M99" s="31"/>
      <c r="N99" s="31" t="s">
        <v>163</v>
      </c>
      <c r="O99" s="31"/>
      <c r="P99" s="32">
        <f>30000</f>
        <v>30000</v>
      </c>
      <c r="Q99" s="32"/>
      <c r="R99" s="32"/>
      <c r="S99" s="32">
        <f>29903.66</f>
        <v>29903.66</v>
      </c>
      <c r="T99" s="32"/>
      <c r="U99" s="32"/>
      <c r="V99" s="32"/>
      <c r="W99" s="33">
        <f>96.34</f>
        <v>96.34</v>
      </c>
      <c r="X99" s="33"/>
    </row>
    <row r="100" spans="1:24" s="1" customFormat="1" ht="33.75" customHeight="1">
      <c r="A100" s="30" t="s">
        <v>164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92</v>
      </c>
      <c r="M100" s="31"/>
      <c r="N100" s="31" t="s">
        <v>165</v>
      </c>
      <c r="O100" s="31"/>
      <c r="P100" s="32">
        <f>13425000</f>
        <v>13425000</v>
      </c>
      <c r="Q100" s="32"/>
      <c r="R100" s="32"/>
      <c r="S100" s="32">
        <f>5460000</f>
        <v>5460000</v>
      </c>
      <c r="T100" s="32"/>
      <c r="U100" s="32"/>
      <c r="V100" s="32"/>
      <c r="W100" s="33">
        <f>7965000</f>
        <v>7965000</v>
      </c>
      <c r="X100" s="33"/>
    </row>
    <row r="101" spans="1:24" s="1" customFormat="1" ht="33.75" customHeight="1">
      <c r="A101" s="30" t="s">
        <v>164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92</v>
      </c>
      <c r="M101" s="31"/>
      <c r="N101" s="31" t="s">
        <v>166</v>
      </c>
      <c r="O101" s="31"/>
      <c r="P101" s="32">
        <f>45000</f>
        <v>45000</v>
      </c>
      <c r="Q101" s="32"/>
      <c r="R101" s="32"/>
      <c r="S101" s="34" t="s">
        <v>46</v>
      </c>
      <c r="T101" s="34"/>
      <c r="U101" s="34"/>
      <c r="V101" s="34"/>
      <c r="W101" s="33">
        <f>45000</f>
        <v>45000</v>
      </c>
      <c r="X101" s="33"/>
    </row>
    <row r="102" spans="1:24" s="1" customFormat="1" ht="13.5" customHeight="1">
      <c r="A102" s="30" t="s">
        <v>99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92</v>
      </c>
      <c r="M102" s="31"/>
      <c r="N102" s="31" t="s">
        <v>167</v>
      </c>
      <c r="O102" s="31"/>
      <c r="P102" s="32">
        <f>180000</f>
        <v>180000</v>
      </c>
      <c r="Q102" s="32"/>
      <c r="R102" s="32"/>
      <c r="S102" s="32">
        <f>130195</f>
        <v>130195</v>
      </c>
      <c r="T102" s="32"/>
      <c r="U102" s="32"/>
      <c r="V102" s="32"/>
      <c r="W102" s="33">
        <f>49805</f>
        <v>49805</v>
      </c>
      <c r="X102" s="33"/>
    </row>
    <row r="103" spans="1:24" s="1" customFormat="1" ht="13.5" customHeight="1">
      <c r="A103" s="30" t="s">
        <v>168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92</v>
      </c>
      <c r="M103" s="31"/>
      <c r="N103" s="31" t="s">
        <v>169</v>
      </c>
      <c r="O103" s="31"/>
      <c r="P103" s="32">
        <f>587600</f>
        <v>587600</v>
      </c>
      <c r="Q103" s="32"/>
      <c r="R103" s="32"/>
      <c r="S103" s="32">
        <f>259878.65</f>
        <v>259878.65</v>
      </c>
      <c r="T103" s="32"/>
      <c r="U103" s="32"/>
      <c r="V103" s="32"/>
      <c r="W103" s="33">
        <f>327721.35</f>
        <v>327721.35</v>
      </c>
      <c r="X103" s="33"/>
    </row>
    <row r="104" spans="1:24" s="1" customFormat="1" ht="33.75" customHeight="1">
      <c r="A104" s="30" t="s">
        <v>164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92</v>
      </c>
      <c r="M104" s="31"/>
      <c r="N104" s="31" t="s">
        <v>170</v>
      </c>
      <c r="O104" s="31"/>
      <c r="P104" s="32">
        <f>2080000</f>
        <v>2080000</v>
      </c>
      <c r="Q104" s="32"/>
      <c r="R104" s="32"/>
      <c r="S104" s="32">
        <f>822666</f>
        <v>822666</v>
      </c>
      <c r="T104" s="32"/>
      <c r="U104" s="32"/>
      <c r="V104" s="32"/>
      <c r="W104" s="33">
        <f>1257334</f>
        <v>1257334</v>
      </c>
      <c r="X104" s="33"/>
    </row>
    <row r="105" spans="1:24" s="1" customFormat="1" ht="24" customHeight="1">
      <c r="A105" s="30" t="s">
        <v>171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92</v>
      </c>
      <c r="M105" s="31"/>
      <c r="N105" s="31" t="s">
        <v>172</v>
      </c>
      <c r="O105" s="31"/>
      <c r="P105" s="32">
        <f>160200</f>
        <v>160200</v>
      </c>
      <c r="Q105" s="32"/>
      <c r="R105" s="32"/>
      <c r="S105" s="32">
        <f>160104.51</f>
        <v>160104.51</v>
      </c>
      <c r="T105" s="32"/>
      <c r="U105" s="32"/>
      <c r="V105" s="32"/>
      <c r="W105" s="33">
        <f>95.49</f>
        <v>95.49</v>
      </c>
      <c r="X105" s="33"/>
    </row>
    <row r="106" spans="1:24" s="1" customFormat="1" ht="24" customHeight="1">
      <c r="A106" s="30" t="s">
        <v>171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92</v>
      </c>
      <c r="M106" s="31"/>
      <c r="N106" s="31" t="s">
        <v>173</v>
      </c>
      <c r="O106" s="31"/>
      <c r="P106" s="32">
        <f>70060700</f>
        <v>70060700</v>
      </c>
      <c r="Q106" s="32"/>
      <c r="R106" s="32"/>
      <c r="S106" s="34" t="s">
        <v>46</v>
      </c>
      <c r="T106" s="34"/>
      <c r="U106" s="34"/>
      <c r="V106" s="34"/>
      <c r="W106" s="33">
        <f>70060700</f>
        <v>70060700</v>
      </c>
      <c r="X106" s="33"/>
    </row>
    <row r="107" spans="1:24" s="1" customFormat="1" ht="13.5" customHeight="1">
      <c r="A107" s="30" t="s">
        <v>99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92</v>
      </c>
      <c r="M107" s="31"/>
      <c r="N107" s="31" t="s">
        <v>174</v>
      </c>
      <c r="O107" s="31"/>
      <c r="P107" s="32">
        <f>800000</f>
        <v>800000</v>
      </c>
      <c r="Q107" s="32"/>
      <c r="R107" s="32"/>
      <c r="S107" s="32">
        <f>386968</f>
        <v>386968</v>
      </c>
      <c r="T107" s="32"/>
      <c r="U107" s="32"/>
      <c r="V107" s="32"/>
      <c r="W107" s="33">
        <f>413032</f>
        <v>413032</v>
      </c>
      <c r="X107" s="33"/>
    </row>
    <row r="108" spans="1:24" s="1" customFormat="1" ht="13.5" customHeight="1">
      <c r="A108" s="30" t="s">
        <v>175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92</v>
      </c>
      <c r="M108" s="31"/>
      <c r="N108" s="31" t="s">
        <v>176</v>
      </c>
      <c r="O108" s="31"/>
      <c r="P108" s="32">
        <f>320000</f>
        <v>320000</v>
      </c>
      <c r="Q108" s="32"/>
      <c r="R108" s="32"/>
      <c r="S108" s="32">
        <f>159561.64</f>
        <v>159561.64</v>
      </c>
      <c r="T108" s="32"/>
      <c r="U108" s="32"/>
      <c r="V108" s="32"/>
      <c r="W108" s="33">
        <f>160438.36</f>
        <v>160438.36</v>
      </c>
      <c r="X108" s="33"/>
    </row>
    <row r="109" spans="1:24" s="1" customFormat="1" ht="15" customHeight="1">
      <c r="A109" s="36" t="s">
        <v>177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7" t="s">
        <v>178</v>
      </c>
      <c r="M109" s="37"/>
      <c r="N109" s="37" t="s">
        <v>37</v>
      </c>
      <c r="O109" s="37"/>
      <c r="P109" s="38">
        <f>465988.41</f>
        <v>465988.41</v>
      </c>
      <c r="Q109" s="38"/>
      <c r="R109" s="38"/>
      <c r="S109" s="38">
        <f>-943739.26</f>
        <v>-943739.26</v>
      </c>
      <c r="T109" s="38"/>
      <c r="U109" s="38"/>
      <c r="V109" s="38"/>
      <c r="W109" s="39" t="s">
        <v>37</v>
      </c>
      <c r="X109" s="39"/>
    </row>
    <row r="110" spans="1:24" s="1" customFormat="1" ht="13.5" customHeight="1">
      <c r="A110" s="7" t="s">
        <v>17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s="1" customFormat="1" ht="13.5" customHeight="1">
      <c r="A111" s="12" t="s">
        <v>179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75" customHeight="1">
      <c r="A112" s="13" t="s">
        <v>23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24</v>
      </c>
      <c r="M112" s="13"/>
      <c r="N112" s="13" t="s">
        <v>180</v>
      </c>
      <c r="O112" s="13"/>
      <c r="P112" s="14" t="s">
        <v>26</v>
      </c>
      <c r="Q112" s="14"/>
      <c r="R112" s="14"/>
      <c r="S112" s="14" t="s">
        <v>27</v>
      </c>
      <c r="T112" s="14"/>
      <c r="U112" s="14"/>
      <c r="V112" s="14"/>
      <c r="W112" s="15" t="s">
        <v>28</v>
      </c>
      <c r="X112" s="15"/>
    </row>
    <row r="113" spans="1:24" s="1" customFormat="1" ht="12.75" customHeight="1">
      <c r="A113" s="16" t="s">
        <v>29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30</v>
      </c>
      <c r="M113" s="16"/>
      <c r="N113" s="16" t="s">
        <v>31</v>
      </c>
      <c r="O113" s="16"/>
      <c r="P113" s="17" t="s">
        <v>32</v>
      </c>
      <c r="Q113" s="17"/>
      <c r="R113" s="17"/>
      <c r="S113" s="17" t="s">
        <v>33</v>
      </c>
      <c r="T113" s="17"/>
      <c r="U113" s="17"/>
      <c r="V113" s="17"/>
      <c r="W113" s="18" t="s">
        <v>34</v>
      </c>
      <c r="X113" s="18"/>
    </row>
    <row r="114" spans="1:24" s="1" customFormat="1" ht="13.5" customHeight="1">
      <c r="A114" s="19" t="s">
        <v>181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182</v>
      </c>
      <c r="M114" s="20"/>
      <c r="N114" s="20" t="s">
        <v>37</v>
      </c>
      <c r="O114" s="20"/>
      <c r="P114" s="40">
        <f>-465988.41</f>
        <v>-465988.41</v>
      </c>
      <c r="Q114" s="40"/>
      <c r="R114" s="40"/>
      <c r="S114" s="21">
        <f>943739.26</f>
        <v>943739.26</v>
      </c>
      <c r="T114" s="21"/>
      <c r="U114" s="21"/>
      <c r="V114" s="21"/>
      <c r="W114" s="41" t="s">
        <v>37</v>
      </c>
      <c r="X114" s="41"/>
    </row>
    <row r="115" spans="1:24" s="1" customFormat="1" ht="13.5" customHeight="1">
      <c r="A115" s="42" t="s">
        <v>183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3" t="s">
        <v>17</v>
      </c>
      <c r="M115" s="43"/>
      <c r="N115" s="43" t="s">
        <v>17</v>
      </c>
      <c r="O115" s="43"/>
      <c r="P115" s="44" t="s">
        <v>17</v>
      </c>
      <c r="Q115" s="44"/>
      <c r="R115" s="44"/>
      <c r="S115" s="45" t="s">
        <v>17</v>
      </c>
      <c r="T115" s="45"/>
      <c r="U115" s="45"/>
      <c r="V115" s="45"/>
      <c r="W115" s="46" t="s">
        <v>17</v>
      </c>
      <c r="X115" s="46"/>
    </row>
    <row r="116" spans="1:24" s="1" customFormat="1" ht="13.5" customHeight="1">
      <c r="A116" s="23" t="s">
        <v>184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7" t="s">
        <v>185</v>
      </c>
      <c r="M116" s="47"/>
      <c r="N116" s="24" t="s">
        <v>37</v>
      </c>
      <c r="O116" s="24"/>
      <c r="P116" s="48">
        <f>-2000000</f>
        <v>-2000000</v>
      </c>
      <c r="Q116" s="48"/>
      <c r="R116" s="48"/>
      <c r="S116" s="27" t="s">
        <v>46</v>
      </c>
      <c r="T116" s="27"/>
      <c r="U116" s="27"/>
      <c r="V116" s="27"/>
      <c r="W116" s="49">
        <f>-2000000</f>
        <v>-2000000</v>
      </c>
      <c r="X116" s="49"/>
    </row>
    <row r="117" spans="1:24" s="1" customFormat="1" ht="24" customHeight="1">
      <c r="A117" s="30" t="s">
        <v>186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185</v>
      </c>
      <c r="M117" s="31"/>
      <c r="N117" s="31" t="s">
        <v>187</v>
      </c>
      <c r="O117" s="31"/>
      <c r="P117" s="50">
        <f>-2000000</f>
        <v>-2000000</v>
      </c>
      <c r="Q117" s="50"/>
      <c r="R117" s="50"/>
      <c r="S117" s="34" t="s">
        <v>46</v>
      </c>
      <c r="T117" s="34"/>
      <c r="U117" s="34"/>
      <c r="V117" s="34"/>
      <c r="W117" s="51">
        <f>-2000000</f>
        <v>-2000000</v>
      </c>
      <c r="X117" s="51"/>
    </row>
    <row r="118" spans="1:24" s="1" customFormat="1" ht="13.5" customHeight="1">
      <c r="A118" s="30" t="s">
        <v>188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43" t="s">
        <v>189</v>
      </c>
      <c r="M118" s="43"/>
      <c r="N118" s="43" t="s">
        <v>37</v>
      </c>
      <c r="O118" s="43"/>
      <c r="P118" s="44" t="s">
        <v>46</v>
      </c>
      <c r="Q118" s="44"/>
      <c r="R118" s="44"/>
      <c r="S118" s="34" t="s">
        <v>46</v>
      </c>
      <c r="T118" s="34"/>
      <c r="U118" s="34"/>
      <c r="V118" s="34"/>
      <c r="W118" s="46" t="s">
        <v>46</v>
      </c>
      <c r="X118" s="46"/>
    </row>
    <row r="119" spans="1:24" s="1" customFormat="1" ht="13.5" customHeight="1">
      <c r="A119" s="30" t="s">
        <v>17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189</v>
      </c>
      <c r="M119" s="31"/>
      <c r="N119" s="31" t="s">
        <v>17</v>
      </c>
      <c r="O119" s="31"/>
      <c r="P119" s="52" t="s">
        <v>46</v>
      </c>
      <c r="Q119" s="52"/>
      <c r="R119" s="52"/>
      <c r="S119" s="34" t="s">
        <v>46</v>
      </c>
      <c r="T119" s="34"/>
      <c r="U119" s="34"/>
      <c r="V119" s="34"/>
      <c r="W119" s="53" t="s">
        <v>46</v>
      </c>
      <c r="X119" s="53"/>
    </row>
    <row r="120" spans="1:24" s="1" customFormat="1" ht="13.5" customHeight="1">
      <c r="A120" s="30" t="s">
        <v>190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191</v>
      </c>
      <c r="M120" s="31"/>
      <c r="N120" s="31" t="s">
        <v>192</v>
      </c>
      <c r="O120" s="31"/>
      <c r="P120" s="50">
        <f>1534011.59</f>
        <v>1534011.59</v>
      </c>
      <c r="Q120" s="50"/>
      <c r="R120" s="50"/>
      <c r="S120" s="32">
        <f>943739.26</f>
        <v>943739.26</v>
      </c>
      <c r="T120" s="32"/>
      <c r="U120" s="32"/>
      <c r="V120" s="32"/>
      <c r="W120" s="51">
        <f>590272.33</f>
        <v>590272.33</v>
      </c>
      <c r="X120" s="51"/>
    </row>
    <row r="121" spans="1:24" s="1" customFormat="1" ht="13.5" customHeight="1">
      <c r="A121" s="30" t="s">
        <v>193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194</v>
      </c>
      <c r="M121" s="31"/>
      <c r="N121" s="31" t="s">
        <v>195</v>
      </c>
      <c r="O121" s="31"/>
      <c r="P121" s="50">
        <f>-149362700</f>
        <v>-149362700</v>
      </c>
      <c r="Q121" s="50"/>
      <c r="R121" s="50"/>
      <c r="S121" s="32">
        <f>-50099872.02</f>
        <v>-50099872.02</v>
      </c>
      <c r="T121" s="32"/>
      <c r="U121" s="32"/>
      <c r="V121" s="32"/>
      <c r="W121" s="54" t="s">
        <v>37</v>
      </c>
      <c r="X121" s="54"/>
    </row>
    <row r="122" spans="1:24" s="1" customFormat="1" ht="13.5" customHeight="1">
      <c r="A122" s="30" t="s">
        <v>196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197</v>
      </c>
      <c r="M122" s="31"/>
      <c r="N122" s="31" t="s">
        <v>198</v>
      </c>
      <c r="O122" s="31"/>
      <c r="P122" s="50">
        <f>150896711.59</f>
        <v>150896711.59</v>
      </c>
      <c r="Q122" s="50"/>
      <c r="R122" s="50"/>
      <c r="S122" s="32">
        <f>51043611.28</f>
        <v>51043611.28</v>
      </c>
      <c r="T122" s="32"/>
      <c r="U122" s="32"/>
      <c r="V122" s="32"/>
      <c r="W122" s="54" t="s">
        <v>37</v>
      </c>
      <c r="X122" s="54"/>
    </row>
    <row r="123" spans="1:24" s="1" customFormat="1" ht="13.5" customHeight="1">
      <c r="A123" s="56" t="s">
        <v>17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</row>
    <row r="124" spans="1:24" s="1" customFormat="1" ht="24" customHeight="1">
      <c r="A124" s="7" t="s">
        <v>199</v>
      </c>
      <c r="B124" s="7"/>
      <c r="C124" s="7"/>
      <c r="D124" s="7"/>
      <c r="E124" s="7"/>
      <c r="F124" s="7"/>
      <c r="G124" s="7"/>
      <c r="H124" s="7"/>
      <c r="I124" s="55" t="s">
        <v>17</v>
      </c>
      <c r="J124" s="55"/>
      <c r="K124" s="55"/>
      <c r="L124" s="55"/>
      <c r="M124" s="55"/>
      <c r="N124" s="55" t="s">
        <v>200</v>
      </c>
      <c r="O124" s="55"/>
      <c r="P124" s="55"/>
      <c r="Q124" s="55"/>
      <c r="R124" s="7" t="s">
        <v>17</v>
      </c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17</v>
      </c>
      <c r="B125" s="7"/>
      <c r="C125" s="7"/>
      <c r="D125" s="7"/>
      <c r="E125" s="7"/>
      <c r="F125" s="7"/>
      <c r="G125" s="7"/>
      <c r="H125" s="7"/>
      <c r="I125" s="10" t="s">
        <v>17</v>
      </c>
      <c r="J125" s="57" t="s">
        <v>201</v>
      </c>
      <c r="K125" s="57"/>
      <c r="L125" s="57"/>
      <c r="M125" s="10" t="s">
        <v>17</v>
      </c>
      <c r="N125" s="10" t="s">
        <v>17</v>
      </c>
      <c r="O125" s="57" t="s">
        <v>202</v>
      </c>
      <c r="P125" s="57"/>
      <c r="Q125" s="7" t="s">
        <v>17</v>
      </c>
      <c r="R125" s="7"/>
      <c r="S125" s="7"/>
      <c r="T125" s="7"/>
      <c r="U125" s="7"/>
      <c r="V125" s="7"/>
      <c r="W125" s="7"/>
      <c r="X125" s="7"/>
    </row>
    <row r="126" spans="1:24" s="1" customFormat="1" ht="7.5" customHeight="1">
      <c r="A126" s="7" t="s">
        <v>17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203</v>
      </c>
      <c r="B127" s="7"/>
      <c r="C127" s="7"/>
      <c r="D127" s="7"/>
      <c r="E127" s="7"/>
      <c r="F127" s="7"/>
      <c r="G127" s="7"/>
      <c r="H127" s="7"/>
      <c r="I127" s="55" t="s">
        <v>17</v>
      </c>
      <c r="J127" s="55"/>
      <c r="K127" s="55"/>
      <c r="L127" s="55"/>
      <c r="M127" s="55"/>
      <c r="N127" s="55" t="s">
        <v>204</v>
      </c>
      <c r="O127" s="55"/>
      <c r="P127" s="55"/>
      <c r="Q127" s="55"/>
      <c r="R127" s="7" t="s">
        <v>17</v>
      </c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17</v>
      </c>
      <c r="B128" s="7"/>
      <c r="C128" s="7"/>
      <c r="D128" s="7"/>
      <c r="E128" s="7"/>
      <c r="F128" s="7"/>
      <c r="G128" s="7"/>
      <c r="H128" s="7"/>
      <c r="I128" s="10" t="s">
        <v>17</v>
      </c>
      <c r="J128" s="57" t="s">
        <v>201</v>
      </c>
      <c r="K128" s="57"/>
      <c r="L128" s="57"/>
      <c r="M128" s="10" t="s">
        <v>17</v>
      </c>
      <c r="N128" s="10" t="s">
        <v>17</v>
      </c>
      <c r="O128" s="57" t="s">
        <v>202</v>
      </c>
      <c r="P128" s="57"/>
      <c r="Q128" s="7" t="s">
        <v>17</v>
      </c>
      <c r="R128" s="7"/>
      <c r="S128" s="7"/>
      <c r="T128" s="7"/>
      <c r="U128" s="7"/>
      <c r="V128" s="7"/>
      <c r="W128" s="7"/>
      <c r="X128" s="7"/>
    </row>
    <row r="129" spans="1:24" s="1" customFormat="1" ht="7.5" customHeight="1">
      <c r="A129" s="7" t="s">
        <v>17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205</v>
      </c>
      <c r="B130" s="7"/>
      <c r="C130" s="55" t="s">
        <v>206</v>
      </c>
      <c r="D130" s="55"/>
      <c r="E130" s="55"/>
      <c r="F130" s="55"/>
      <c r="G130" s="55"/>
      <c r="H130" s="55"/>
      <c r="I130" s="55" t="s">
        <v>17</v>
      </c>
      <c r="J130" s="55"/>
      <c r="K130" s="55"/>
      <c r="L130" s="55"/>
      <c r="M130" s="55"/>
      <c r="N130" s="55" t="s">
        <v>207</v>
      </c>
      <c r="O130" s="55"/>
      <c r="P130" s="55"/>
      <c r="Q130" s="55"/>
      <c r="R130" s="7" t="s">
        <v>17</v>
      </c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17</v>
      </c>
      <c r="B131" s="7"/>
      <c r="C131" s="10" t="s">
        <v>17</v>
      </c>
      <c r="D131" s="57" t="s">
        <v>208</v>
      </c>
      <c r="E131" s="57"/>
      <c r="F131" s="57"/>
      <c r="G131" s="57"/>
      <c r="H131" s="10" t="s">
        <v>17</v>
      </c>
      <c r="I131" s="10" t="s">
        <v>17</v>
      </c>
      <c r="J131" s="57" t="s">
        <v>201</v>
      </c>
      <c r="K131" s="57"/>
      <c r="L131" s="57"/>
      <c r="M131" s="10" t="s">
        <v>17</v>
      </c>
      <c r="N131" s="10" t="s">
        <v>17</v>
      </c>
      <c r="O131" s="57" t="s">
        <v>202</v>
      </c>
      <c r="P131" s="57"/>
      <c r="Q131" s="7" t="s">
        <v>17</v>
      </c>
      <c r="R131" s="7"/>
      <c r="S131" s="7"/>
      <c r="T131" s="7"/>
      <c r="U131" s="7"/>
      <c r="V131" s="7"/>
      <c r="W131" s="7"/>
      <c r="X131" s="7"/>
    </row>
    <row r="132" spans="1:24" s="1" customFormat="1" ht="15.75" customHeight="1">
      <c r="A132" s="7" t="s">
        <v>17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3.5" customHeight="1">
      <c r="A133" s="58" t="s">
        <v>209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7" t="s">
        <v>17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4" t="s">
        <v>210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</sheetData>
  <sheetProtection/>
  <mergeCells count="707">
    <mergeCell ref="A133:J133"/>
    <mergeCell ref="K133:X133"/>
    <mergeCell ref="A134:X134"/>
    <mergeCell ref="A131:B131"/>
    <mergeCell ref="D131:G131"/>
    <mergeCell ref="J131:L131"/>
    <mergeCell ref="O131:P131"/>
    <mergeCell ref="Q131:X131"/>
    <mergeCell ref="A132:X132"/>
    <mergeCell ref="A129:X129"/>
    <mergeCell ref="A130:B130"/>
    <mergeCell ref="C130:H130"/>
    <mergeCell ref="I130:M130"/>
    <mergeCell ref="N130:Q130"/>
    <mergeCell ref="R130:X130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2023-03-28T08:01:48Z</dcterms:created>
  <dcterms:modified xsi:type="dcterms:W3CDTF">2023-03-28T08:01:48Z</dcterms:modified>
  <cp:category/>
  <cp:version/>
  <cp:contentType/>
  <cp:contentStatus/>
</cp:coreProperties>
</file>