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<sst xmlns="http://schemas.openxmlformats.org/spreadsheetml/2006/main" count="502" uniqueCount="228">
  <si>
    <t>ОТЧЕТ ОБ ИСПОЛНЕНИИ БЮДЖЕТА</t>
  </si>
  <si>
    <t>КОДЫ</t>
  </si>
  <si>
    <t xml:space="preserve">Форма по ОКУД </t>
  </si>
  <si>
    <t>0503117</t>
  </si>
  <si>
    <t>на 1 ноября 2022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</si>
  <si>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</si>
  <si>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</si>
  <si>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</si>
  <si>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</si>
  <si>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</si>
  <si>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</si>
  <si>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</si>
  <si>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</si>
  <si>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</si>
  <si>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</si>
  <si>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</si>
  <si>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</si>
  <si>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</si>
  <si>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</si>
  <si>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</si>
  <si>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</si>
  <si>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</si>
  <si>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</si>
  <si>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</si>
  <si>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</si>
  <si>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</si>
  <si>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</si>
  <si>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</si>
  <si>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</si>
  <si>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</si>
  <si>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</si>
  <si>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</si>
  <si>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</si>
  <si>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</si>
  <si>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</si>
  <si>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</si>
  <si>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</si>
  <si>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</si>
  <si>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</si>
  <si>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</si>
  <si>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</si>
  <si>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</si>
  <si>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</si>
  <si>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</si>
  <si>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</si>
  <si>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</si>
  <si>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</si>
  <si>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</si>
  <si>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</si>
  <si>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</si>
  <si>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</si>
  <si>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</si>
  <si>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</si>
  <si>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</si>
  <si>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</si>
  <si>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</si>
  <si>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</si>
  <si>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</si>
  <si>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</si>
  <si>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</si>
  <si>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</si>
  <si>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</si>
  <si>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</si>
  <si>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</si>
  <si>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</si>
  <si>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</si>
  <si>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</si>
  <si>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</si>
  <si>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</si>
  <si>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</si>
  <si>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</si>
  <si>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</si>
  <si>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</si>
  <si>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доходы от компенсации затрат бюджетов сельских поселений</t>
  </si>
  <si>
    <t>992 11302995 10 0000 130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</si>
  <si>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</si>
  <si>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992 11402052 10 0000 410</t>
  </si>
  <si>
    <t>Средства от распоряжения и реализации выморочного имущества, обращенного в собственность сельских поселений (в части реализации основных средств по указанному имуществу)</t>
  </si>
  <si>
    <t>992 11403050 10 0000 410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</si>
  <si>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</si>
  <si>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</si>
  <si>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</si>
  <si>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</si>
  <si>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</si>
  <si>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</si>
  <si>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</si>
  <si>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</si>
  <si>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</si>
  <si>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</si>
  <si>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</si>
  <si>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</si>
  <si>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</si>
  <si>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</si>
  <si>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</si>
  <si>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</si>
  <si>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</si>
  <si>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</si>
  <si>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</si>
  <si>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</si>
  <si>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</si>
  <si>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</si>
  <si>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</si>
  <si>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</si>
  <si>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</si>
  <si>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</si>
  <si>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</si>
  <si>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</si>
  <si>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</si>
  <si>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</si>
  <si>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</si>
  <si>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</si>
  <si>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</si>
  <si>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</si>
  <si>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</si>
  <si>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</si>
  <si>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</si>
  <si>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</si>
  <si>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</si>
  <si>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</si>
  <si>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</si>
  <si>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</si>
  <si>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</si>
  <si>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</si>
  <si>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</si>
  <si>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</si>
  <si>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</si>
  <si>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</si>
  <si>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</si>
  <si>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</si>
  <si>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</si>
  <si>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</si>
  <si>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</si>
  <si>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</si>
  <si>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</si>
  <si>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</si>
  <si>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</si>
  <si>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992 0203 5520051180 121</t>
  </si>
  <si>
    <t>992 0203 5520051180 129</t>
  </si>
  <si>
    <t>992 0203 5530051180 121</t>
  </si>
  <si>
    <t>992 0203 5530051180 129</t>
  </si>
  <si>
    <t>992 0310 0360100000 244</t>
  </si>
  <si>
    <t>992 0310 0360200000 244</t>
  </si>
  <si>
    <t>992 0310 0360300000 244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</si>
  <si>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</si>
  <si>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</si>
  <si>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</si>
  <si>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</si>
  <si>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</si>
  <si>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</si>
  <si>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</si>
  <si>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</si>
  <si>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</si>
  <si>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201R1S3930 244</t>
  </si>
  <si>
    <t>992 0409 201R1С3930 244</t>
  </si>
  <si>
    <t>992 0409 2020100000 244</t>
  </si>
  <si>
    <t>992 0409 2020300000 244</t>
  </si>
  <si>
    <t>992 0412 2100100000 244</t>
  </si>
  <si>
    <t>992 0412 2100200000 244</t>
  </si>
  <si>
    <t>992 0412 2100300000 244</t>
  </si>
  <si>
    <t>Исполнение судебных актов Российской Федерации и мировых соглашений по возмещению причиненного вреда</t>
  </si>
  <si>
    <t>992 0412 2100400000 831</t>
  </si>
  <si>
    <t>992 0412 2100400000 852</t>
  </si>
  <si>
    <t>992 0412 2100400000 853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</si>
  <si>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</si>
  <si>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</si>
  <si>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</si>
  <si>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</si>
  <si>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</si>
  <si>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</si>
  <si>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</si>
  <si>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</si>
  <si>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</si>
  <si>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</si>
  <si>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</si>
  <si>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</si>
  <si>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</si>
  <si>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</si>
  <si>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</si>
  <si>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</si>
  <si>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</si>
  <si>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</si>
  <si>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</si>
  <si>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</si>
  <si>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</si>
  <si>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</si>
  <si>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</si>
  <si>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</si>
  <si>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</si>
  <si>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</si>
  <si>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</si>
  <si>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</si>
  <si>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</si>
  <si>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</si>
  <si>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</si>
  <si>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</si>
  <si>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</si>
  <si>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</si>
  <si>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</si>
  <si>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</si>
  <si>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</si>
  <si>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</si>
  <si>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</si>
  <si>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</si>
  <si>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</si>
  <si>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</si>
  <si>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</si>
  <si>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</si>
  <si>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</si>
  <si>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</si>
  <si>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</si>
  <si>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</si>
  <si>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</si>
  <si>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</si>
  <si>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</si>
  <si>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</si>
  <si>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</si>
  <si>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</si>
  <si>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</si>
  <si>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</si>
  <si>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</si>
  <si>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</si>
  <si>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</si>
  <si>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</si>
  <si>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</si>
  <si>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</si>
  <si>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</si>
  <si>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13 апреля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</si>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</sst>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44866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164340700</f>
        <v>164340700</v>
      </c>
      <c r="Q12" s="21"/>
      <c r="R12" s="21"/>
      <c r="S12" s="21">
        <f>121477471.09</f>
        <v>121477471.09</v>
      </c>
      <c r="T12" s="21"/>
      <c r="U12" s="21"/>
      <c r="V12" s="21"/>
      <c r="W12" s="22">
        <f>42863228.91</f>
        <v>42863228.91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2840000</f>
        <v>2840000</v>
      </c>
      <c r="Q13" s="25"/>
      <c r="R13" s="25"/>
      <c r="S13" s="25">
        <f>2769447.78</f>
        <v>2769447.78</v>
      </c>
      <c r="T13" s="25"/>
      <c r="U13" s="25"/>
      <c r="V13" s="25"/>
      <c r="W13" s="26">
        <f>70552.22</f>
        <v>70552.22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25000</f>
        <v>25000</v>
      </c>
      <c r="Q14" s="25"/>
      <c r="R14" s="25"/>
      <c r="S14" s="25">
        <f>15536.87</f>
        <v>15536.87</v>
      </c>
      <c r="T14" s="25"/>
      <c r="U14" s="25"/>
      <c r="V14" s="25"/>
      <c r="W14" s="26">
        <f>9463.13</f>
        <v>9463.13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3205400</f>
        <v>3205400</v>
      </c>
      <c r="Q15" s="25"/>
      <c r="R15" s="25"/>
      <c r="S15" s="25">
        <f>3146538.87</f>
        <v>3146538.87</v>
      </c>
      <c r="T15" s="25"/>
      <c r="U15" s="25"/>
      <c r="V15" s="25"/>
      <c r="W15" s="26">
        <f>58861.13</f>
        <v>58861.13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-320267.05</f>
        <v>-320267.05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20820000</f>
        <v>20820000</v>
      </c>
      <c r="Q17" s="25"/>
      <c r="R17" s="25"/>
      <c r="S17" s="25">
        <f>19465476.99</f>
        <v>19465476.99</v>
      </c>
      <c r="T17" s="25"/>
      <c r="U17" s="25"/>
      <c r="V17" s="25"/>
      <c r="W17" s="26">
        <f>1354523.01</f>
        <v>1354523.01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500000</f>
        <v>500000</v>
      </c>
      <c r="Q18" s="25"/>
      <c r="R18" s="25"/>
      <c r="S18" s="25">
        <f>637030.44</f>
        <v>637030.44</v>
      </c>
      <c r="T18" s="25"/>
      <c r="U18" s="25"/>
      <c r="V18" s="25"/>
      <c r="W18" s="28" t="s">
        <v>46</v>
      </c>
      <c r="X18" s="28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400000</f>
        <v>400000</v>
      </c>
      <c r="Q19" s="25"/>
      <c r="R19" s="25"/>
      <c r="S19" s="25">
        <f>655191.06</f>
        <v>655191.06</v>
      </c>
      <c r="T19" s="25"/>
      <c r="U19" s="25"/>
      <c r="V19" s="25"/>
      <c r="W19" s="28" t="s">
        <v>46</v>
      </c>
      <c r="X19" s="28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200000</f>
        <v>200000</v>
      </c>
      <c r="Q20" s="25"/>
      <c r="R20" s="25"/>
      <c r="S20" s="25">
        <f>142531.52</f>
        <v>142531.52</v>
      </c>
      <c r="T20" s="25"/>
      <c r="U20" s="25"/>
      <c r="V20" s="25"/>
      <c r="W20" s="26">
        <f>57468.48</f>
        <v>57468.48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7" t="s">
        <v>46</v>
      </c>
      <c r="Q21" s="27"/>
      <c r="R21" s="27"/>
      <c r="S21" s="25">
        <f>0.53</f>
        <v>0.53</v>
      </c>
      <c r="T21" s="25"/>
      <c r="U21" s="25"/>
      <c r="V21" s="25"/>
      <c r="W21" s="28" t="s">
        <v>46</v>
      </c>
      <c r="X21" s="28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1680000</f>
        <v>1680000</v>
      </c>
      <c r="Q22" s="25"/>
      <c r="R22" s="25"/>
      <c r="S22" s="25">
        <f>1738633.53</f>
        <v>1738633.53</v>
      </c>
      <c r="T22" s="25"/>
      <c r="U22" s="25"/>
      <c r="V22" s="25"/>
      <c r="W22" s="28" t="s">
        <v>46</v>
      </c>
      <c r="X22" s="28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7" t="s">
        <v>46</v>
      </c>
      <c r="Q23" s="27"/>
      <c r="R23" s="27"/>
      <c r="S23" s="25">
        <f>120.04</f>
        <v>120.04</v>
      </c>
      <c r="T23" s="25"/>
      <c r="U23" s="25"/>
      <c r="V23" s="25"/>
      <c r="W23" s="28" t="s">
        <v>46</v>
      </c>
      <c r="X23" s="28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6300000</f>
        <v>6300000</v>
      </c>
      <c r="Q24" s="25"/>
      <c r="R24" s="25"/>
      <c r="S24" s="25">
        <f>3053176.9</f>
        <v>3053176.9</v>
      </c>
      <c r="T24" s="25"/>
      <c r="U24" s="25"/>
      <c r="V24" s="25"/>
      <c r="W24" s="26">
        <f>3246823.1</f>
        <v>3246823.1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1920000</f>
        <v>1920000</v>
      </c>
      <c r="Q25" s="25"/>
      <c r="R25" s="25"/>
      <c r="S25" s="25">
        <f>2219562.5</f>
        <v>2219562.5</v>
      </c>
      <c r="T25" s="25"/>
      <c r="U25" s="25"/>
      <c r="V25" s="25"/>
      <c r="W25" s="28" t="s">
        <v>46</v>
      </c>
      <c r="X25" s="28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7000000</f>
        <v>7000000</v>
      </c>
      <c r="Q26" s="25"/>
      <c r="R26" s="25"/>
      <c r="S26" s="25">
        <f>2300881.44</f>
        <v>2300881.44</v>
      </c>
      <c r="T26" s="25"/>
      <c r="U26" s="25"/>
      <c r="V26" s="25"/>
      <c r="W26" s="26">
        <f>4699118.56</f>
        <v>4699118.56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7" t="s">
        <v>46</v>
      </c>
      <c r="Q27" s="27"/>
      <c r="R27" s="27"/>
      <c r="S27" s="25">
        <f>-1617.62</f>
        <v>-1617.62</v>
      </c>
      <c r="T27" s="25"/>
      <c r="U27" s="25"/>
      <c r="V27" s="25"/>
      <c r="W27" s="28" t="s">
        <v>46</v>
      </c>
      <c r="X27" s="28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46</v>
      </c>
      <c r="Q28" s="27"/>
      <c r="R28" s="27"/>
      <c r="S28" s="25">
        <f>213689</f>
        <v>213689</v>
      </c>
      <c r="T28" s="25"/>
      <c r="U28" s="25"/>
      <c r="V28" s="25"/>
      <c r="W28" s="28" t="s">
        <v>46</v>
      </c>
      <c r="X28" s="28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495900</f>
        <v>495900</v>
      </c>
      <c r="Q29" s="25"/>
      <c r="R29" s="25"/>
      <c r="S29" s="25">
        <f>210476.17</f>
        <v>210476.17</v>
      </c>
      <c r="T29" s="25"/>
      <c r="U29" s="25"/>
      <c r="V29" s="25"/>
      <c r="W29" s="26">
        <f>285423.83</f>
        <v>285423.83</v>
      </c>
      <c r="X29" s="26"/>
    </row>
    <row r="30" spans="1:24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440000</f>
        <v>440000</v>
      </c>
      <c r="Q30" s="25"/>
      <c r="R30" s="25"/>
      <c r="S30" s="25">
        <f>443004.79</f>
        <v>443004.79</v>
      </c>
      <c r="T30" s="25"/>
      <c r="U30" s="25"/>
      <c r="V30" s="25"/>
      <c r="W30" s="28" t="s">
        <v>46</v>
      </c>
      <c r="X30" s="28"/>
    </row>
    <row r="31" spans="1:24" s="1" customFormat="1" ht="4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46</v>
      </c>
      <c r="Q31" s="27"/>
      <c r="R31" s="27"/>
      <c r="S31" s="25">
        <f>29070</f>
        <v>29070</v>
      </c>
      <c r="T31" s="25"/>
      <c r="U31" s="25"/>
      <c r="V31" s="25"/>
      <c r="W31" s="28" t="s">
        <v>46</v>
      </c>
      <c r="X31" s="28"/>
    </row>
    <row r="32" spans="1:24" s="1" customFormat="1" ht="33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2579500</f>
        <v>2579500</v>
      </c>
      <c r="Q32" s="25"/>
      <c r="R32" s="25"/>
      <c r="S32" s="25">
        <f>2579500</f>
        <v>2579500</v>
      </c>
      <c r="T32" s="25"/>
      <c r="U32" s="25"/>
      <c r="V32" s="25"/>
      <c r="W32" s="26">
        <f>0</f>
        <v>0</v>
      </c>
      <c r="X32" s="26"/>
    </row>
    <row r="33" spans="1:24" s="1" customFormat="1" ht="33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3700</f>
        <v>3700</v>
      </c>
      <c r="Q33" s="25"/>
      <c r="R33" s="25"/>
      <c r="S33" s="27" t="s">
        <v>46</v>
      </c>
      <c r="T33" s="27"/>
      <c r="U33" s="27"/>
      <c r="V33" s="27"/>
      <c r="W33" s="26">
        <f>3700</f>
        <v>3700</v>
      </c>
      <c r="X33" s="26"/>
    </row>
    <row r="34" spans="1:24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46</v>
      </c>
      <c r="Q34" s="27"/>
      <c r="R34" s="27"/>
      <c r="S34" s="25">
        <f>8000</f>
        <v>8000</v>
      </c>
      <c r="T34" s="25"/>
      <c r="U34" s="25"/>
      <c r="V34" s="25"/>
      <c r="W34" s="28" t="s">
        <v>46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7" t="s">
        <v>46</v>
      </c>
      <c r="Q35" s="27"/>
      <c r="R35" s="27"/>
      <c r="S35" s="25">
        <f>0</f>
        <v>0</v>
      </c>
      <c r="T35" s="25"/>
      <c r="U35" s="25"/>
      <c r="V35" s="25"/>
      <c r="W35" s="28" t="s">
        <v>46</v>
      </c>
      <c r="X35" s="28"/>
    </row>
    <row r="36" spans="1:24" s="1" customFormat="1" ht="13.5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460000</f>
        <v>460000</v>
      </c>
      <c r="Q36" s="25"/>
      <c r="R36" s="25"/>
      <c r="S36" s="25">
        <f>640000</f>
        <v>640000</v>
      </c>
      <c r="T36" s="25"/>
      <c r="U36" s="25"/>
      <c r="V36" s="25"/>
      <c r="W36" s="28" t="s">
        <v>46</v>
      </c>
      <c r="X36" s="28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6466600</f>
        <v>6466600</v>
      </c>
      <c r="Q37" s="25"/>
      <c r="R37" s="25"/>
      <c r="S37" s="25">
        <f>6466600</f>
        <v>6466600</v>
      </c>
      <c r="T37" s="25"/>
      <c r="U37" s="25"/>
      <c r="V37" s="25"/>
      <c r="W37" s="26">
        <f>0</f>
        <v>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912800</f>
        <v>912800</v>
      </c>
      <c r="Q38" s="25"/>
      <c r="R38" s="25"/>
      <c r="S38" s="25">
        <f>760200</f>
        <v>760200</v>
      </c>
      <c r="T38" s="25"/>
      <c r="U38" s="25"/>
      <c r="V38" s="25"/>
      <c r="W38" s="26">
        <f>152600</f>
        <v>152600</v>
      </c>
      <c r="X38" s="26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61653400</f>
        <v>61653400</v>
      </c>
      <c r="Q39" s="25"/>
      <c r="R39" s="25"/>
      <c r="S39" s="25">
        <f>28149857.55</f>
        <v>28149857.55</v>
      </c>
      <c r="T39" s="25"/>
      <c r="U39" s="25"/>
      <c r="V39" s="25"/>
      <c r="W39" s="26">
        <f>33503542.45</f>
        <v>33503542.45</v>
      </c>
      <c r="X39" s="26"/>
    </row>
    <row r="40" spans="1:24" s="1" customFormat="1" ht="13.5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37411000</f>
        <v>37411000</v>
      </c>
      <c r="Q40" s="25"/>
      <c r="R40" s="25"/>
      <c r="S40" s="25">
        <f>37410999.99</f>
        <v>37410999.99</v>
      </c>
      <c r="T40" s="25"/>
      <c r="U40" s="25"/>
      <c r="V40" s="25"/>
      <c r="W40" s="26">
        <f>0.01</f>
        <v>0.01</v>
      </c>
      <c r="X40" s="26"/>
    </row>
    <row r="41" spans="1:24" s="1" customFormat="1" ht="24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5">
        <f>7600</f>
        <v>7600</v>
      </c>
      <c r="Q41" s="25"/>
      <c r="R41" s="25"/>
      <c r="S41" s="25">
        <f>7600</f>
        <v>7600</v>
      </c>
      <c r="T41" s="25"/>
      <c r="U41" s="25"/>
      <c r="V41" s="25"/>
      <c r="W41" s="26">
        <f>0</f>
        <v>0</v>
      </c>
      <c r="X41" s="26"/>
    </row>
    <row r="42" spans="1:24" s="1" customFormat="1" ht="33.75" customHeight="1">
      <c r="A42" s="23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98</v>
      </c>
      <c r="O42" s="24"/>
      <c r="P42" s="25">
        <f>519800</f>
        <v>519800</v>
      </c>
      <c r="Q42" s="25"/>
      <c r="R42" s="25"/>
      <c r="S42" s="25">
        <f>336229.79</f>
        <v>336229.79</v>
      </c>
      <c r="T42" s="25"/>
      <c r="U42" s="25"/>
      <c r="V42" s="25"/>
      <c r="W42" s="26">
        <f>183570.21</f>
        <v>183570.21</v>
      </c>
      <c r="X42" s="26"/>
    </row>
    <row r="43" spans="1:24" s="1" customFormat="1" ht="24" customHeight="1">
      <c r="A43" s="23" t="s">
        <v>99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36</v>
      </c>
      <c r="M43" s="24"/>
      <c r="N43" s="24" t="s">
        <v>100</v>
      </c>
      <c r="O43" s="24"/>
      <c r="P43" s="25">
        <f>8500000</f>
        <v>8500000</v>
      </c>
      <c r="Q43" s="25"/>
      <c r="R43" s="25"/>
      <c r="S43" s="25">
        <f>8400000</f>
        <v>8400000</v>
      </c>
      <c r="T43" s="25"/>
      <c r="U43" s="25"/>
      <c r="V43" s="25"/>
      <c r="W43" s="26">
        <f>100000</f>
        <v>100000</v>
      </c>
      <c r="X43" s="26"/>
    </row>
    <row r="44" spans="1:24" s="1" customFormat="1" ht="54.75" customHeight="1">
      <c r="A44" s="23" t="s">
        <v>101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 t="s">
        <v>36</v>
      </c>
      <c r="M44" s="24"/>
      <c r="N44" s="24" t="s">
        <v>102</v>
      </c>
      <c r="O44" s="24"/>
      <c r="P44" s="27" t="s">
        <v>46</v>
      </c>
      <c r="Q44" s="27"/>
      <c r="R44" s="27"/>
      <c r="S44" s="25">
        <f>0</f>
        <v>0</v>
      </c>
      <c r="T44" s="25"/>
      <c r="U44" s="25"/>
      <c r="V44" s="25"/>
      <c r="W44" s="28" t="s">
        <v>46</v>
      </c>
      <c r="X44" s="28"/>
    </row>
    <row r="45" spans="1:24" s="1" customFormat="1" ht="13.5" customHeight="1">
      <c r="A45" s="29" t="s">
        <v>17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1" customFormat="1" ht="13.5" customHeight="1">
      <c r="A46" s="12" t="s">
        <v>103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" customFormat="1" ht="34.5" customHeight="1">
      <c r="A47" s="13" t="s">
        <v>23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 t="s">
        <v>24</v>
      </c>
      <c r="M47" s="13"/>
      <c r="N47" s="13" t="s">
        <v>104</v>
      </c>
      <c r="O47" s="13"/>
      <c r="P47" s="14" t="s">
        <v>26</v>
      </c>
      <c r="Q47" s="14"/>
      <c r="R47" s="14"/>
      <c r="S47" s="14" t="s">
        <v>27</v>
      </c>
      <c r="T47" s="14"/>
      <c r="U47" s="14"/>
      <c r="V47" s="14"/>
      <c r="W47" s="15" t="s">
        <v>28</v>
      </c>
      <c r="X47" s="15"/>
    </row>
    <row r="48" spans="1:24" s="1" customFormat="1" ht="13.5" customHeight="1">
      <c r="A48" s="16" t="s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 t="s">
        <v>30</v>
      </c>
      <c r="M48" s="16"/>
      <c r="N48" s="16" t="s">
        <v>31</v>
      </c>
      <c r="O48" s="16"/>
      <c r="P48" s="17" t="s">
        <v>32</v>
      </c>
      <c r="Q48" s="17"/>
      <c r="R48" s="17"/>
      <c r="S48" s="17" t="s">
        <v>33</v>
      </c>
      <c r="T48" s="17"/>
      <c r="U48" s="17"/>
      <c r="V48" s="17"/>
      <c r="W48" s="18" t="s">
        <v>34</v>
      </c>
      <c r="X48" s="18"/>
    </row>
    <row r="49" spans="1:24" s="1" customFormat="1" ht="13.5" customHeight="1">
      <c r="A49" s="19" t="s">
        <v>105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 t="s">
        <v>106</v>
      </c>
      <c r="M49" s="20"/>
      <c r="N49" s="20" t="s">
        <v>37</v>
      </c>
      <c r="O49" s="20"/>
      <c r="P49" s="21">
        <f>163874711.59</f>
        <v>163874711.59</v>
      </c>
      <c r="Q49" s="21"/>
      <c r="R49" s="21"/>
      <c r="S49" s="21">
        <f>114792041.1</f>
        <v>114792041.1</v>
      </c>
      <c r="T49" s="21"/>
      <c r="U49" s="21"/>
      <c r="V49" s="21"/>
      <c r="W49" s="22">
        <f>49082670.49</f>
        <v>49082670.49</v>
      </c>
      <c r="X49" s="22"/>
    </row>
    <row r="50" spans="1:24" s="1" customFormat="1" ht="13.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106</v>
      </c>
      <c r="M50" s="31"/>
      <c r="N50" s="31" t="s">
        <v>108</v>
      </c>
      <c r="O50" s="31"/>
      <c r="P50" s="32">
        <f>917100</f>
        <v>917100</v>
      </c>
      <c r="Q50" s="32"/>
      <c r="R50" s="32"/>
      <c r="S50" s="32">
        <f>721176</f>
        <v>721176</v>
      </c>
      <c r="T50" s="32"/>
      <c r="U50" s="32"/>
      <c r="V50" s="32"/>
      <c r="W50" s="33">
        <f>195924</f>
        <v>195924</v>
      </c>
      <c r="X50" s="33"/>
    </row>
    <row r="51" spans="1:24" s="1" customFormat="1" ht="33.75" customHeight="1">
      <c r="A51" s="30" t="s">
        <v>109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106</v>
      </c>
      <c r="M51" s="31"/>
      <c r="N51" s="31" t="s">
        <v>110</v>
      </c>
      <c r="O51" s="31"/>
      <c r="P51" s="32">
        <f>277000</f>
        <v>277000</v>
      </c>
      <c r="Q51" s="32"/>
      <c r="R51" s="32"/>
      <c r="S51" s="32">
        <f>217795.16</f>
        <v>217795.16</v>
      </c>
      <c r="T51" s="32"/>
      <c r="U51" s="32"/>
      <c r="V51" s="32"/>
      <c r="W51" s="33">
        <f>59204.84</f>
        <v>59204.84</v>
      </c>
      <c r="X51" s="33"/>
    </row>
    <row r="52" spans="1:24" s="1" customFormat="1" ht="13.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106</v>
      </c>
      <c r="M52" s="31"/>
      <c r="N52" s="31" t="s">
        <v>111</v>
      </c>
      <c r="O52" s="31"/>
      <c r="P52" s="32">
        <f>5785300</f>
        <v>5785300</v>
      </c>
      <c r="Q52" s="32"/>
      <c r="R52" s="32"/>
      <c r="S52" s="32">
        <f>4595655.12</f>
        <v>4595655.12</v>
      </c>
      <c r="T52" s="32"/>
      <c r="U52" s="32"/>
      <c r="V52" s="32"/>
      <c r="W52" s="33">
        <f>1189644.88</f>
        <v>1189644.88</v>
      </c>
      <c r="X52" s="33"/>
    </row>
    <row r="53" spans="1:24" s="1" customFormat="1" ht="33.75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106</v>
      </c>
      <c r="M53" s="31"/>
      <c r="N53" s="31" t="s">
        <v>112</v>
      </c>
      <c r="O53" s="31"/>
      <c r="P53" s="32">
        <f>1747100</f>
        <v>1747100</v>
      </c>
      <c r="Q53" s="32"/>
      <c r="R53" s="32"/>
      <c r="S53" s="32">
        <f>1383124.95</f>
        <v>1383124.95</v>
      </c>
      <c r="T53" s="32"/>
      <c r="U53" s="32"/>
      <c r="V53" s="32"/>
      <c r="W53" s="33">
        <f>363975.05</f>
        <v>363975.05</v>
      </c>
      <c r="X53" s="33"/>
    </row>
    <row r="54" spans="1:24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106</v>
      </c>
      <c r="M54" s="31"/>
      <c r="N54" s="31" t="s">
        <v>114</v>
      </c>
      <c r="O54" s="31"/>
      <c r="P54" s="32">
        <f>330000</f>
        <v>330000</v>
      </c>
      <c r="Q54" s="32"/>
      <c r="R54" s="32"/>
      <c r="S54" s="32">
        <f>228075.99</f>
        <v>228075.99</v>
      </c>
      <c r="T54" s="32"/>
      <c r="U54" s="32"/>
      <c r="V54" s="32"/>
      <c r="W54" s="33">
        <f>101924.01</f>
        <v>101924.01</v>
      </c>
      <c r="X54" s="33"/>
    </row>
    <row r="55" spans="1:24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106</v>
      </c>
      <c r="M55" s="31"/>
      <c r="N55" s="31" t="s">
        <v>116</v>
      </c>
      <c r="O55" s="31"/>
      <c r="P55" s="32">
        <f>4500</f>
        <v>4500</v>
      </c>
      <c r="Q55" s="32"/>
      <c r="R55" s="32"/>
      <c r="S55" s="34" t="s">
        <v>46</v>
      </c>
      <c r="T55" s="34"/>
      <c r="U55" s="34"/>
      <c r="V55" s="34"/>
      <c r="W55" s="33">
        <f>4500</f>
        <v>4500</v>
      </c>
      <c r="X55" s="33"/>
    </row>
    <row r="56" spans="1:24" s="1" customFormat="1" ht="13.5" customHeight="1">
      <c r="A56" s="30" t="s">
        <v>117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106</v>
      </c>
      <c r="M56" s="31"/>
      <c r="N56" s="31" t="s">
        <v>118</v>
      </c>
      <c r="O56" s="31"/>
      <c r="P56" s="32">
        <f>25000</f>
        <v>25000</v>
      </c>
      <c r="Q56" s="32"/>
      <c r="R56" s="32"/>
      <c r="S56" s="32">
        <f>16495</f>
        <v>16495</v>
      </c>
      <c r="T56" s="32"/>
      <c r="U56" s="32"/>
      <c r="V56" s="32"/>
      <c r="W56" s="33">
        <f>8505</f>
        <v>8505</v>
      </c>
      <c r="X56" s="33"/>
    </row>
    <row r="57" spans="1:24" s="1" customFormat="1" ht="13.5" customHeight="1">
      <c r="A57" s="30" t="s">
        <v>113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106</v>
      </c>
      <c r="M57" s="31"/>
      <c r="N57" s="31" t="s">
        <v>119</v>
      </c>
      <c r="O57" s="31"/>
      <c r="P57" s="32">
        <f>7600</f>
        <v>7600</v>
      </c>
      <c r="Q57" s="32"/>
      <c r="R57" s="32"/>
      <c r="S57" s="32">
        <f>7600</f>
        <v>7600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120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106</v>
      </c>
      <c r="M58" s="31"/>
      <c r="N58" s="31" t="s">
        <v>121</v>
      </c>
      <c r="O58" s="31"/>
      <c r="P58" s="32">
        <f>362100</f>
        <v>362100</v>
      </c>
      <c r="Q58" s="32"/>
      <c r="R58" s="32"/>
      <c r="S58" s="32">
        <f>362100</f>
        <v>362100</v>
      </c>
      <c r="T58" s="32"/>
      <c r="U58" s="32"/>
      <c r="V58" s="32"/>
      <c r="W58" s="33">
        <f>0</f>
        <v>0</v>
      </c>
      <c r="X58" s="33"/>
    </row>
    <row r="59" spans="1:24" s="1" customFormat="1" ht="13.5" customHeight="1">
      <c r="A59" s="30" t="s">
        <v>122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106</v>
      </c>
      <c r="M59" s="31"/>
      <c r="N59" s="31" t="s">
        <v>123</v>
      </c>
      <c r="O59" s="31"/>
      <c r="P59" s="32">
        <f>40000</f>
        <v>40000</v>
      </c>
      <c r="Q59" s="32"/>
      <c r="R59" s="32"/>
      <c r="S59" s="34" t="s">
        <v>46</v>
      </c>
      <c r="T59" s="34"/>
      <c r="U59" s="34"/>
      <c r="V59" s="34"/>
      <c r="W59" s="33">
        <f>40000</f>
        <v>40000</v>
      </c>
      <c r="X59" s="33"/>
    </row>
    <row r="60" spans="1:24" s="1" customFormat="1" ht="13.5" customHeight="1">
      <c r="A60" s="30" t="s">
        <v>113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106</v>
      </c>
      <c r="M60" s="31"/>
      <c r="N60" s="31" t="s">
        <v>124</v>
      </c>
      <c r="O60" s="31"/>
      <c r="P60" s="32">
        <f>287900</f>
        <v>287900</v>
      </c>
      <c r="Q60" s="32"/>
      <c r="R60" s="32"/>
      <c r="S60" s="32">
        <f>287900</f>
        <v>287900</v>
      </c>
      <c r="T60" s="32"/>
      <c r="U60" s="32"/>
      <c r="V60" s="32"/>
      <c r="W60" s="33">
        <f>0</f>
        <v>0</v>
      </c>
      <c r="X60" s="33"/>
    </row>
    <row r="61" spans="1:24" s="1" customFormat="1" ht="13.5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106</v>
      </c>
      <c r="M61" s="31"/>
      <c r="N61" s="31" t="s">
        <v>126</v>
      </c>
      <c r="O61" s="31"/>
      <c r="P61" s="32">
        <f>5721100</f>
        <v>5721100</v>
      </c>
      <c r="Q61" s="32"/>
      <c r="R61" s="32"/>
      <c r="S61" s="32">
        <f>4619066.34</f>
        <v>4619066.34</v>
      </c>
      <c r="T61" s="32"/>
      <c r="U61" s="32"/>
      <c r="V61" s="32"/>
      <c r="W61" s="33">
        <f>1102033.66</f>
        <v>1102033.66</v>
      </c>
      <c r="X61" s="33"/>
    </row>
    <row r="62" spans="1:24" s="1" customFormat="1" ht="24" customHeight="1">
      <c r="A62" s="30" t="s">
        <v>127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106</v>
      </c>
      <c r="M62" s="31"/>
      <c r="N62" s="31" t="s">
        <v>128</v>
      </c>
      <c r="O62" s="31"/>
      <c r="P62" s="32">
        <f>1727800</f>
        <v>1727800</v>
      </c>
      <c r="Q62" s="32"/>
      <c r="R62" s="32"/>
      <c r="S62" s="32">
        <f>1361525.08</f>
        <v>1361525.08</v>
      </c>
      <c r="T62" s="32"/>
      <c r="U62" s="32"/>
      <c r="V62" s="32"/>
      <c r="W62" s="33">
        <f>366274.92</f>
        <v>366274.92</v>
      </c>
      <c r="X62" s="33"/>
    </row>
    <row r="63" spans="1:24" s="1" customFormat="1" ht="13.5" customHeight="1">
      <c r="A63" s="30" t="s">
        <v>113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106</v>
      </c>
      <c r="M63" s="31"/>
      <c r="N63" s="31" t="s">
        <v>129</v>
      </c>
      <c r="O63" s="31"/>
      <c r="P63" s="32">
        <f>2110000</f>
        <v>2110000</v>
      </c>
      <c r="Q63" s="32"/>
      <c r="R63" s="32"/>
      <c r="S63" s="32">
        <f>1943316.29</f>
        <v>1943316.29</v>
      </c>
      <c r="T63" s="32"/>
      <c r="U63" s="32"/>
      <c r="V63" s="32"/>
      <c r="W63" s="33">
        <f>166683.71</f>
        <v>166683.71</v>
      </c>
      <c r="X63" s="33"/>
    </row>
    <row r="64" spans="1:24" s="1" customFormat="1" ht="13.5" customHeight="1">
      <c r="A64" s="30" t="s">
        <v>130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106</v>
      </c>
      <c r="M64" s="31"/>
      <c r="N64" s="31" t="s">
        <v>131</v>
      </c>
      <c r="O64" s="31"/>
      <c r="P64" s="32">
        <f>990000</f>
        <v>990000</v>
      </c>
      <c r="Q64" s="32"/>
      <c r="R64" s="32"/>
      <c r="S64" s="32">
        <f>538170.68</f>
        <v>538170.68</v>
      </c>
      <c r="T64" s="32"/>
      <c r="U64" s="32"/>
      <c r="V64" s="32"/>
      <c r="W64" s="33">
        <f>451829.32</f>
        <v>451829.32</v>
      </c>
      <c r="X64" s="33"/>
    </row>
    <row r="65" spans="1:24" s="1" customFormat="1" ht="13.5" customHeight="1">
      <c r="A65" s="30" t="s">
        <v>115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106</v>
      </c>
      <c r="M65" s="31"/>
      <c r="N65" s="31" t="s">
        <v>132</v>
      </c>
      <c r="O65" s="31"/>
      <c r="P65" s="32">
        <f>8500</f>
        <v>8500</v>
      </c>
      <c r="Q65" s="32"/>
      <c r="R65" s="32"/>
      <c r="S65" s="32">
        <f>3936</f>
        <v>3936</v>
      </c>
      <c r="T65" s="32"/>
      <c r="U65" s="32"/>
      <c r="V65" s="32"/>
      <c r="W65" s="33">
        <f>4564</f>
        <v>4564</v>
      </c>
      <c r="X65" s="33"/>
    </row>
    <row r="66" spans="1:24" s="1" customFormat="1" ht="13.5" customHeight="1">
      <c r="A66" s="30" t="s">
        <v>117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106</v>
      </c>
      <c r="M66" s="31"/>
      <c r="N66" s="31" t="s">
        <v>133</v>
      </c>
      <c r="O66" s="31"/>
      <c r="P66" s="32">
        <f>12500</f>
        <v>12500</v>
      </c>
      <c r="Q66" s="32"/>
      <c r="R66" s="32"/>
      <c r="S66" s="32">
        <f>1276.08</f>
        <v>1276.08</v>
      </c>
      <c r="T66" s="32"/>
      <c r="U66" s="32"/>
      <c r="V66" s="32"/>
      <c r="W66" s="33">
        <f>11223.92</f>
        <v>11223.92</v>
      </c>
      <c r="X66" s="33"/>
    </row>
    <row r="67" spans="1:24" s="1" customFormat="1" ht="13.5" customHeight="1">
      <c r="A67" s="30" t="s">
        <v>115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106</v>
      </c>
      <c r="M67" s="31"/>
      <c r="N67" s="31" t="s">
        <v>134</v>
      </c>
      <c r="O67" s="31"/>
      <c r="P67" s="32">
        <f>21000</f>
        <v>21000</v>
      </c>
      <c r="Q67" s="32"/>
      <c r="R67" s="32"/>
      <c r="S67" s="32">
        <f>20158</f>
        <v>20158</v>
      </c>
      <c r="T67" s="32"/>
      <c r="U67" s="32"/>
      <c r="V67" s="32"/>
      <c r="W67" s="33">
        <f>842</f>
        <v>842</v>
      </c>
      <c r="X67" s="33"/>
    </row>
    <row r="68" spans="1:24" s="1" customFormat="1" ht="13.5" customHeight="1">
      <c r="A68" s="30" t="s">
        <v>117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106</v>
      </c>
      <c r="M68" s="31"/>
      <c r="N68" s="31" t="s">
        <v>135</v>
      </c>
      <c r="O68" s="31"/>
      <c r="P68" s="32">
        <f>3000</f>
        <v>3000</v>
      </c>
      <c r="Q68" s="32"/>
      <c r="R68" s="32"/>
      <c r="S68" s="32">
        <f>2888.5</f>
        <v>2888.5</v>
      </c>
      <c r="T68" s="32"/>
      <c r="U68" s="32"/>
      <c r="V68" s="32"/>
      <c r="W68" s="33">
        <f>111.5</f>
        <v>111.5</v>
      </c>
      <c r="X68" s="33"/>
    </row>
    <row r="69" spans="1:24" s="1" customFormat="1" ht="13.5" customHeight="1">
      <c r="A69" s="30" t="s">
        <v>107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106</v>
      </c>
      <c r="M69" s="31"/>
      <c r="N69" s="31" t="s">
        <v>136</v>
      </c>
      <c r="O69" s="31"/>
      <c r="P69" s="32">
        <f>0</f>
        <v>0</v>
      </c>
      <c r="Q69" s="32"/>
      <c r="R69" s="32"/>
      <c r="S69" s="34" t="s">
        <v>46</v>
      </c>
      <c r="T69" s="34"/>
      <c r="U69" s="34"/>
      <c r="V69" s="34"/>
      <c r="W69" s="35" t="s">
        <v>46</v>
      </c>
      <c r="X69" s="35"/>
    </row>
    <row r="70" spans="1:24" s="1" customFormat="1" ht="33.75" customHeight="1">
      <c r="A70" s="30" t="s">
        <v>109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106</v>
      </c>
      <c r="M70" s="31"/>
      <c r="N70" s="31" t="s">
        <v>137</v>
      </c>
      <c r="O70" s="31"/>
      <c r="P70" s="32">
        <f>0</f>
        <v>0</v>
      </c>
      <c r="Q70" s="32"/>
      <c r="R70" s="32"/>
      <c r="S70" s="34" t="s">
        <v>46</v>
      </c>
      <c r="T70" s="34"/>
      <c r="U70" s="34"/>
      <c r="V70" s="34"/>
      <c r="W70" s="35" t="s">
        <v>46</v>
      </c>
      <c r="X70" s="35"/>
    </row>
    <row r="71" spans="1:24" s="1" customFormat="1" ht="13.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106</v>
      </c>
      <c r="M71" s="31"/>
      <c r="N71" s="31" t="s">
        <v>138</v>
      </c>
      <c r="O71" s="31"/>
      <c r="P71" s="32">
        <f>399231.95</f>
        <v>399231.95</v>
      </c>
      <c r="Q71" s="32"/>
      <c r="R71" s="32"/>
      <c r="S71" s="32">
        <f>258241</f>
        <v>258241</v>
      </c>
      <c r="T71" s="32"/>
      <c r="U71" s="32"/>
      <c r="V71" s="32"/>
      <c r="W71" s="33">
        <f>140990.95</f>
        <v>140990.95</v>
      </c>
      <c r="X71" s="33"/>
    </row>
    <row r="72" spans="1:24" s="1" customFormat="1" ht="33.75" customHeight="1">
      <c r="A72" s="30" t="s">
        <v>109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106</v>
      </c>
      <c r="M72" s="31"/>
      <c r="N72" s="31" t="s">
        <v>139</v>
      </c>
      <c r="O72" s="31"/>
      <c r="P72" s="32">
        <f>120568.05</f>
        <v>120568.05</v>
      </c>
      <c r="Q72" s="32"/>
      <c r="R72" s="32"/>
      <c r="S72" s="32">
        <f>77988.79</f>
        <v>77988.79</v>
      </c>
      <c r="T72" s="32"/>
      <c r="U72" s="32"/>
      <c r="V72" s="32"/>
      <c r="W72" s="33">
        <f>42579.26</f>
        <v>42579.26</v>
      </c>
      <c r="X72" s="33"/>
    </row>
    <row r="73" spans="1:24" s="1" customFormat="1" ht="13.5" customHeight="1">
      <c r="A73" s="30" t="s">
        <v>113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106</v>
      </c>
      <c r="M73" s="31"/>
      <c r="N73" s="31" t="s">
        <v>140</v>
      </c>
      <c r="O73" s="31"/>
      <c r="P73" s="32">
        <f>30000</f>
        <v>30000</v>
      </c>
      <c r="Q73" s="32"/>
      <c r="R73" s="32"/>
      <c r="S73" s="32">
        <f>12615.98</f>
        <v>12615.98</v>
      </c>
      <c r="T73" s="32"/>
      <c r="U73" s="32"/>
      <c r="V73" s="32"/>
      <c r="W73" s="33">
        <f>17384.02</f>
        <v>17384.02</v>
      </c>
      <c r="X73" s="33"/>
    </row>
    <row r="74" spans="1:24" s="1" customFormat="1" ht="13.5" customHeight="1">
      <c r="A74" s="30" t="s">
        <v>113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106</v>
      </c>
      <c r="M74" s="31"/>
      <c r="N74" s="31" t="s">
        <v>141</v>
      </c>
      <c r="O74" s="31"/>
      <c r="P74" s="32">
        <f>97500</f>
        <v>97500</v>
      </c>
      <c r="Q74" s="32"/>
      <c r="R74" s="32"/>
      <c r="S74" s="32">
        <f>97440</f>
        <v>97440</v>
      </c>
      <c r="T74" s="32"/>
      <c r="U74" s="32"/>
      <c r="V74" s="32"/>
      <c r="W74" s="33">
        <f>60</f>
        <v>60</v>
      </c>
      <c r="X74" s="33"/>
    </row>
    <row r="75" spans="1:24" s="1" customFormat="1" ht="13.5" customHeight="1">
      <c r="A75" s="30" t="s">
        <v>113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106</v>
      </c>
      <c r="M75" s="31"/>
      <c r="N75" s="31" t="s">
        <v>142</v>
      </c>
      <c r="O75" s="31"/>
      <c r="P75" s="32">
        <f>70000</f>
        <v>70000</v>
      </c>
      <c r="Q75" s="32"/>
      <c r="R75" s="32"/>
      <c r="S75" s="32">
        <f>70000</f>
        <v>70000</v>
      </c>
      <c r="T75" s="32"/>
      <c r="U75" s="32"/>
      <c r="V75" s="32"/>
      <c r="W75" s="33">
        <f>0</f>
        <v>0</v>
      </c>
      <c r="X75" s="33"/>
    </row>
    <row r="76" spans="1:24" s="1" customFormat="1" ht="13.5" customHeight="1">
      <c r="A76" s="30" t="s">
        <v>113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106</v>
      </c>
      <c r="M76" s="31"/>
      <c r="N76" s="31" t="s">
        <v>143</v>
      </c>
      <c r="O76" s="31"/>
      <c r="P76" s="32">
        <f>50000</f>
        <v>50000</v>
      </c>
      <c r="Q76" s="32"/>
      <c r="R76" s="32"/>
      <c r="S76" s="32">
        <f>0</f>
        <v>0</v>
      </c>
      <c r="T76" s="32"/>
      <c r="U76" s="32"/>
      <c r="V76" s="32"/>
      <c r="W76" s="33">
        <f>50000</f>
        <v>50000</v>
      </c>
      <c r="X76" s="33"/>
    </row>
    <row r="77" spans="1:24" s="1" customFormat="1" ht="13.5" customHeight="1">
      <c r="A77" s="30" t="s">
        <v>113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106</v>
      </c>
      <c r="M77" s="31"/>
      <c r="N77" s="31" t="s">
        <v>144</v>
      </c>
      <c r="O77" s="31"/>
      <c r="P77" s="32">
        <f>5000</f>
        <v>5000</v>
      </c>
      <c r="Q77" s="32"/>
      <c r="R77" s="32"/>
      <c r="S77" s="34" t="s">
        <v>46</v>
      </c>
      <c r="T77" s="34"/>
      <c r="U77" s="34"/>
      <c r="V77" s="34"/>
      <c r="W77" s="33">
        <f>5000</f>
        <v>5000</v>
      </c>
      <c r="X77" s="33"/>
    </row>
    <row r="78" spans="1:24" s="1" customFormat="1" ht="13.5" customHeight="1">
      <c r="A78" s="30" t="s">
        <v>122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106</v>
      </c>
      <c r="M78" s="31"/>
      <c r="N78" s="31" t="s">
        <v>145</v>
      </c>
      <c r="O78" s="31"/>
      <c r="P78" s="32">
        <f>20000</f>
        <v>20000</v>
      </c>
      <c r="Q78" s="32"/>
      <c r="R78" s="32"/>
      <c r="S78" s="34" t="s">
        <v>46</v>
      </c>
      <c r="T78" s="34"/>
      <c r="U78" s="34"/>
      <c r="V78" s="34"/>
      <c r="W78" s="33">
        <f>20000</f>
        <v>20000</v>
      </c>
      <c r="X78" s="33"/>
    </row>
    <row r="79" spans="1:24" s="1" customFormat="1" ht="13.5" customHeight="1">
      <c r="A79" s="30" t="s">
        <v>146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106</v>
      </c>
      <c r="M79" s="31"/>
      <c r="N79" s="31" t="s">
        <v>147</v>
      </c>
      <c r="O79" s="31"/>
      <c r="P79" s="32">
        <f>60000</f>
        <v>60000</v>
      </c>
      <c r="Q79" s="32"/>
      <c r="R79" s="32"/>
      <c r="S79" s="32">
        <f>56017.26</f>
        <v>56017.26</v>
      </c>
      <c r="T79" s="32"/>
      <c r="U79" s="32"/>
      <c r="V79" s="32"/>
      <c r="W79" s="33">
        <f>3982.74</f>
        <v>3982.74</v>
      </c>
      <c r="X79" s="33"/>
    </row>
    <row r="80" spans="1:24" s="1" customFormat="1" ht="13.5" customHeight="1">
      <c r="A80" s="30" t="s">
        <v>113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106</v>
      </c>
      <c r="M80" s="31"/>
      <c r="N80" s="31" t="s">
        <v>148</v>
      </c>
      <c r="O80" s="31"/>
      <c r="P80" s="32">
        <f>2700100</f>
        <v>2700100</v>
      </c>
      <c r="Q80" s="32"/>
      <c r="R80" s="32"/>
      <c r="S80" s="32">
        <f>2552255.13</f>
        <v>2552255.13</v>
      </c>
      <c r="T80" s="32"/>
      <c r="U80" s="32"/>
      <c r="V80" s="32"/>
      <c r="W80" s="33">
        <f>147844.87</f>
        <v>147844.87</v>
      </c>
      <c r="X80" s="33"/>
    </row>
    <row r="81" spans="1:24" s="1" customFormat="1" ht="24" customHeight="1">
      <c r="A81" s="30" t="s">
        <v>149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106</v>
      </c>
      <c r="M81" s="31"/>
      <c r="N81" s="31" t="s">
        <v>150</v>
      </c>
      <c r="O81" s="31"/>
      <c r="P81" s="32">
        <f>508300</f>
        <v>508300</v>
      </c>
      <c r="Q81" s="32"/>
      <c r="R81" s="32"/>
      <c r="S81" s="32">
        <f>100000</f>
        <v>100000</v>
      </c>
      <c r="T81" s="32"/>
      <c r="U81" s="32"/>
      <c r="V81" s="32"/>
      <c r="W81" s="33">
        <f>408300</f>
        <v>408300</v>
      </c>
      <c r="X81" s="33"/>
    </row>
    <row r="82" spans="1:24" s="1" customFormat="1" ht="13.5" customHeight="1">
      <c r="A82" s="30" t="s">
        <v>113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106</v>
      </c>
      <c r="M82" s="31"/>
      <c r="N82" s="31" t="s">
        <v>151</v>
      </c>
      <c r="O82" s="31"/>
      <c r="P82" s="32">
        <f>373000</f>
        <v>373000</v>
      </c>
      <c r="Q82" s="32"/>
      <c r="R82" s="32"/>
      <c r="S82" s="32">
        <f>190576.32</f>
        <v>190576.32</v>
      </c>
      <c r="T82" s="32"/>
      <c r="U82" s="32"/>
      <c r="V82" s="32"/>
      <c r="W82" s="33">
        <f>182423.68</f>
        <v>182423.68</v>
      </c>
      <c r="X82" s="33"/>
    </row>
    <row r="83" spans="1:24" s="1" customFormat="1" ht="13.5" customHeight="1">
      <c r="A83" s="30" t="s">
        <v>113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106</v>
      </c>
      <c r="M83" s="31"/>
      <c r="N83" s="31" t="s">
        <v>152</v>
      </c>
      <c r="O83" s="31"/>
      <c r="P83" s="32">
        <f>39799200</f>
        <v>39799200</v>
      </c>
      <c r="Q83" s="32"/>
      <c r="R83" s="32"/>
      <c r="S83" s="32">
        <f>39799072.8</f>
        <v>39799072.8</v>
      </c>
      <c r="T83" s="32"/>
      <c r="U83" s="32"/>
      <c r="V83" s="32"/>
      <c r="W83" s="33">
        <f>127.2</f>
        <v>127.2</v>
      </c>
      <c r="X83" s="33"/>
    </row>
    <row r="84" spans="1:24" s="1" customFormat="1" ht="13.5" customHeight="1">
      <c r="A84" s="30" t="s">
        <v>113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106</v>
      </c>
      <c r="M84" s="31"/>
      <c r="N84" s="31" t="s">
        <v>153</v>
      </c>
      <c r="O84" s="31"/>
      <c r="P84" s="32">
        <f>0</f>
        <v>0</v>
      </c>
      <c r="Q84" s="32"/>
      <c r="R84" s="32"/>
      <c r="S84" s="34" t="s">
        <v>46</v>
      </c>
      <c r="T84" s="34"/>
      <c r="U84" s="34"/>
      <c r="V84" s="34"/>
      <c r="W84" s="35" t="s">
        <v>46</v>
      </c>
      <c r="X84" s="35"/>
    </row>
    <row r="85" spans="1:24" s="1" customFormat="1" ht="13.5" customHeight="1">
      <c r="A85" s="30" t="s">
        <v>113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106</v>
      </c>
      <c r="M85" s="31"/>
      <c r="N85" s="31" t="s">
        <v>154</v>
      </c>
      <c r="O85" s="31"/>
      <c r="P85" s="32">
        <f>900000</f>
        <v>900000</v>
      </c>
      <c r="Q85" s="32"/>
      <c r="R85" s="32"/>
      <c r="S85" s="32">
        <f>683320.77</f>
        <v>683320.77</v>
      </c>
      <c r="T85" s="32"/>
      <c r="U85" s="32"/>
      <c r="V85" s="32"/>
      <c r="W85" s="33">
        <f>216679.23</f>
        <v>216679.23</v>
      </c>
      <c r="X85" s="33"/>
    </row>
    <row r="86" spans="1:24" s="1" customFormat="1" ht="13.5" customHeight="1">
      <c r="A86" s="30" t="s">
        <v>113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106</v>
      </c>
      <c r="M86" s="31"/>
      <c r="N86" s="31" t="s">
        <v>155</v>
      </c>
      <c r="O86" s="31"/>
      <c r="P86" s="32">
        <f>200000</f>
        <v>200000</v>
      </c>
      <c r="Q86" s="32"/>
      <c r="R86" s="32"/>
      <c r="S86" s="32">
        <f>200000</f>
        <v>200000</v>
      </c>
      <c r="T86" s="32"/>
      <c r="U86" s="32"/>
      <c r="V86" s="32"/>
      <c r="W86" s="33">
        <f>0</f>
        <v>0</v>
      </c>
      <c r="X86" s="33"/>
    </row>
    <row r="87" spans="1:24" s="1" customFormat="1" ht="13.5" customHeight="1">
      <c r="A87" s="30" t="s">
        <v>113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106</v>
      </c>
      <c r="M87" s="31"/>
      <c r="N87" s="31" t="s">
        <v>156</v>
      </c>
      <c r="O87" s="31"/>
      <c r="P87" s="32">
        <f>195000</f>
        <v>195000</v>
      </c>
      <c r="Q87" s="32"/>
      <c r="R87" s="32"/>
      <c r="S87" s="34" t="s">
        <v>46</v>
      </c>
      <c r="T87" s="34"/>
      <c r="U87" s="34"/>
      <c r="V87" s="34"/>
      <c r="W87" s="33">
        <f>195000</f>
        <v>195000</v>
      </c>
      <c r="X87" s="33"/>
    </row>
    <row r="88" spans="1:24" s="1" customFormat="1" ht="13.5" customHeight="1">
      <c r="A88" s="30" t="s">
        <v>113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106</v>
      </c>
      <c r="M88" s="31"/>
      <c r="N88" s="31" t="s">
        <v>157</v>
      </c>
      <c r="O88" s="31"/>
      <c r="P88" s="32">
        <f>75000</f>
        <v>75000</v>
      </c>
      <c r="Q88" s="32"/>
      <c r="R88" s="32"/>
      <c r="S88" s="32">
        <f>50000</f>
        <v>50000</v>
      </c>
      <c r="T88" s="32"/>
      <c r="U88" s="32"/>
      <c r="V88" s="32"/>
      <c r="W88" s="33">
        <f>25000</f>
        <v>25000</v>
      </c>
      <c r="X88" s="33"/>
    </row>
    <row r="89" spans="1:24" s="1" customFormat="1" ht="13.5" customHeight="1">
      <c r="A89" s="30" t="s">
        <v>113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106</v>
      </c>
      <c r="M89" s="31"/>
      <c r="N89" s="31" t="s">
        <v>158</v>
      </c>
      <c r="O89" s="31"/>
      <c r="P89" s="32">
        <f>25000</f>
        <v>25000</v>
      </c>
      <c r="Q89" s="32"/>
      <c r="R89" s="32"/>
      <c r="S89" s="32">
        <f>19500</f>
        <v>19500</v>
      </c>
      <c r="T89" s="32"/>
      <c r="U89" s="32"/>
      <c r="V89" s="32"/>
      <c r="W89" s="33">
        <f>5500</f>
        <v>5500</v>
      </c>
      <c r="X89" s="33"/>
    </row>
    <row r="90" spans="1:24" s="1" customFormat="1" ht="24" customHeight="1">
      <c r="A90" s="30" t="s">
        <v>159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106</v>
      </c>
      <c r="M90" s="31"/>
      <c r="N90" s="31" t="s">
        <v>160</v>
      </c>
      <c r="O90" s="31"/>
      <c r="P90" s="32">
        <f>128000</f>
        <v>128000</v>
      </c>
      <c r="Q90" s="32"/>
      <c r="R90" s="32"/>
      <c r="S90" s="32">
        <f>128000</f>
        <v>128000</v>
      </c>
      <c r="T90" s="32"/>
      <c r="U90" s="32"/>
      <c r="V90" s="32"/>
      <c r="W90" s="33">
        <f>0</f>
        <v>0</v>
      </c>
      <c r="X90" s="33"/>
    </row>
    <row r="91" spans="1:24" s="1" customFormat="1" ht="13.5" customHeight="1">
      <c r="A91" s="30" t="s">
        <v>115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106</v>
      </c>
      <c r="M91" s="31"/>
      <c r="N91" s="31" t="s">
        <v>161</v>
      </c>
      <c r="O91" s="31"/>
      <c r="P91" s="32">
        <f>22500</f>
        <v>22500</v>
      </c>
      <c r="Q91" s="32"/>
      <c r="R91" s="32"/>
      <c r="S91" s="32">
        <f>9650</f>
        <v>9650</v>
      </c>
      <c r="T91" s="32"/>
      <c r="U91" s="32"/>
      <c r="V91" s="32"/>
      <c r="W91" s="33">
        <f>12850</f>
        <v>12850</v>
      </c>
      <c r="X91" s="33"/>
    </row>
    <row r="92" spans="1:24" s="1" customFormat="1" ht="13.5" customHeight="1">
      <c r="A92" s="30" t="s">
        <v>117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106</v>
      </c>
      <c r="M92" s="31"/>
      <c r="N92" s="31" t="s">
        <v>162</v>
      </c>
      <c r="O92" s="31"/>
      <c r="P92" s="32">
        <f>0</f>
        <v>0</v>
      </c>
      <c r="Q92" s="32"/>
      <c r="R92" s="32"/>
      <c r="S92" s="34" t="s">
        <v>46</v>
      </c>
      <c r="T92" s="34"/>
      <c r="U92" s="34"/>
      <c r="V92" s="34"/>
      <c r="W92" s="35" t="s">
        <v>46</v>
      </c>
      <c r="X92" s="35"/>
    </row>
    <row r="93" spans="1:24" s="1" customFormat="1" ht="13.5" customHeight="1">
      <c r="A93" s="30" t="s">
        <v>113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106</v>
      </c>
      <c r="M93" s="31"/>
      <c r="N93" s="31" t="s">
        <v>163</v>
      </c>
      <c r="O93" s="31"/>
      <c r="P93" s="32">
        <f>1980000</f>
        <v>1980000</v>
      </c>
      <c r="Q93" s="32"/>
      <c r="R93" s="32"/>
      <c r="S93" s="32">
        <f>1410000</f>
        <v>1410000</v>
      </c>
      <c r="T93" s="32"/>
      <c r="U93" s="32"/>
      <c r="V93" s="32"/>
      <c r="W93" s="33">
        <f>570000</f>
        <v>570000</v>
      </c>
      <c r="X93" s="33"/>
    </row>
    <row r="94" spans="1:24" s="1" customFormat="1" ht="33.75" customHeight="1">
      <c r="A94" s="30" t="s">
        <v>164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106</v>
      </c>
      <c r="M94" s="31"/>
      <c r="N94" s="31" t="s">
        <v>165</v>
      </c>
      <c r="O94" s="31"/>
      <c r="P94" s="32">
        <f>200000</f>
        <v>200000</v>
      </c>
      <c r="Q94" s="32"/>
      <c r="R94" s="32"/>
      <c r="S94" s="32">
        <f>156000</f>
        <v>156000</v>
      </c>
      <c r="T94" s="32"/>
      <c r="U94" s="32"/>
      <c r="V94" s="32"/>
      <c r="W94" s="33">
        <f>44000</f>
        <v>44000</v>
      </c>
      <c r="X94" s="33"/>
    </row>
    <row r="95" spans="1:24" s="1" customFormat="1" ht="24" customHeight="1">
      <c r="A95" s="30" t="s">
        <v>149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106</v>
      </c>
      <c r="M95" s="31"/>
      <c r="N95" s="31" t="s">
        <v>166</v>
      </c>
      <c r="O95" s="31"/>
      <c r="P95" s="32">
        <f>43300</f>
        <v>43300</v>
      </c>
      <c r="Q95" s="32"/>
      <c r="R95" s="32"/>
      <c r="S95" s="32">
        <f>43261.41</f>
        <v>43261.41</v>
      </c>
      <c r="T95" s="32"/>
      <c r="U95" s="32"/>
      <c r="V95" s="32"/>
      <c r="W95" s="33">
        <f>38.59</f>
        <v>38.59</v>
      </c>
      <c r="X95" s="33"/>
    </row>
    <row r="96" spans="1:24" s="1" customFormat="1" ht="13.5" customHeight="1">
      <c r="A96" s="30" t="s">
        <v>113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106</v>
      </c>
      <c r="M96" s="31"/>
      <c r="N96" s="31" t="s">
        <v>167</v>
      </c>
      <c r="O96" s="31"/>
      <c r="P96" s="32">
        <f>270800</f>
        <v>270800</v>
      </c>
      <c r="Q96" s="32"/>
      <c r="R96" s="32"/>
      <c r="S96" s="32">
        <f>270798.96</f>
        <v>270798.96</v>
      </c>
      <c r="T96" s="32"/>
      <c r="U96" s="32"/>
      <c r="V96" s="32"/>
      <c r="W96" s="33">
        <f>1.04</f>
        <v>1.04</v>
      </c>
      <c r="X96" s="33"/>
    </row>
    <row r="97" spans="1:24" s="1" customFormat="1" ht="13.5" customHeight="1">
      <c r="A97" s="30" t="s">
        <v>113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106</v>
      </c>
      <c r="M97" s="31"/>
      <c r="N97" s="31" t="s">
        <v>168</v>
      </c>
      <c r="O97" s="31"/>
      <c r="P97" s="32">
        <f>100000</f>
        <v>100000</v>
      </c>
      <c r="Q97" s="32"/>
      <c r="R97" s="32"/>
      <c r="S97" s="32">
        <f>99859.05</f>
        <v>99859.05</v>
      </c>
      <c r="T97" s="32"/>
      <c r="U97" s="32"/>
      <c r="V97" s="32"/>
      <c r="W97" s="33">
        <f>140.95</f>
        <v>140.95</v>
      </c>
      <c r="X97" s="33"/>
    </row>
    <row r="98" spans="1:24" s="1" customFormat="1" ht="13.5" customHeight="1">
      <c r="A98" s="30" t="s">
        <v>113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106</v>
      </c>
      <c r="M98" s="31"/>
      <c r="N98" s="31" t="s">
        <v>169</v>
      </c>
      <c r="O98" s="31"/>
      <c r="P98" s="32">
        <f>46000</f>
        <v>46000</v>
      </c>
      <c r="Q98" s="32"/>
      <c r="R98" s="32"/>
      <c r="S98" s="32">
        <f>46000</f>
        <v>46000</v>
      </c>
      <c r="T98" s="32"/>
      <c r="U98" s="32"/>
      <c r="V98" s="32"/>
      <c r="W98" s="33">
        <f>0</f>
        <v>0</v>
      </c>
      <c r="X98" s="33"/>
    </row>
    <row r="99" spans="1:24" s="1" customFormat="1" ht="13.5" customHeight="1">
      <c r="A99" s="30" t="s">
        <v>113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106</v>
      </c>
      <c r="M99" s="31"/>
      <c r="N99" s="31" t="s">
        <v>170</v>
      </c>
      <c r="O99" s="31"/>
      <c r="P99" s="32">
        <f>600000</f>
        <v>600000</v>
      </c>
      <c r="Q99" s="32"/>
      <c r="R99" s="32"/>
      <c r="S99" s="32">
        <f>527314.9</f>
        <v>527314.9</v>
      </c>
      <c r="T99" s="32"/>
      <c r="U99" s="32"/>
      <c r="V99" s="32"/>
      <c r="W99" s="33">
        <f>72685.1</f>
        <v>72685.1</v>
      </c>
      <c r="X99" s="33"/>
    </row>
    <row r="100" spans="1:24" s="1" customFormat="1" ht="13.5" customHeight="1">
      <c r="A100" s="30" t="s">
        <v>130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106</v>
      </c>
      <c r="M100" s="31"/>
      <c r="N100" s="31" t="s">
        <v>171</v>
      </c>
      <c r="O100" s="31"/>
      <c r="P100" s="32">
        <f>1800000</f>
        <v>1800000</v>
      </c>
      <c r="Q100" s="32"/>
      <c r="R100" s="32"/>
      <c r="S100" s="32">
        <f>983249.68</f>
        <v>983249.68</v>
      </c>
      <c r="T100" s="32"/>
      <c r="U100" s="32"/>
      <c r="V100" s="32"/>
      <c r="W100" s="33">
        <f>816750.32</f>
        <v>816750.32</v>
      </c>
      <c r="X100" s="33"/>
    </row>
    <row r="101" spans="1:24" s="1" customFormat="1" ht="13.5" customHeight="1">
      <c r="A101" s="30" t="s">
        <v>113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106</v>
      </c>
      <c r="M101" s="31"/>
      <c r="N101" s="31" t="s">
        <v>172</v>
      </c>
      <c r="O101" s="31"/>
      <c r="P101" s="32">
        <f>800000</f>
        <v>800000</v>
      </c>
      <c r="Q101" s="32"/>
      <c r="R101" s="32"/>
      <c r="S101" s="32">
        <f>591163.06</f>
        <v>591163.06</v>
      </c>
      <c r="T101" s="32"/>
      <c r="U101" s="32"/>
      <c r="V101" s="32"/>
      <c r="W101" s="33">
        <f>208836.94</f>
        <v>208836.94</v>
      </c>
      <c r="X101" s="33"/>
    </row>
    <row r="102" spans="1:24" s="1" customFormat="1" ht="13.5" customHeight="1">
      <c r="A102" s="30" t="s">
        <v>113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106</v>
      </c>
      <c r="M102" s="31"/>
      <c r="N102" s="31" t="s">
        <v>173</v>
      </c>
      <c r="O102" s="31"/>
      <c r="P102" s="32">
        <f>10000</f>
        <v>10000</v>
      </c>
      <c r="Q102" s="32"/>
      <c r="R102" s="32"/>
      <c r="S102" s="32">
        <f>9866.35</f>
        <v>9866.35</v>
      </c>
      <c r="T102" s="32"/>
      <c r="U102" s="32"/>
      <c r="V102" s="32"/>
      <c r="W102" s="33">
        <f>133.65</f>
        <v>133.65</v>
      </c>
      <c r="X102" s="33"/>
    </row>
    <row r="103" spans="1:24" s="1" customFormat="1" ht="13.5" customHeight="1">
      <c r="A103" s="30" t="s">
        <v>113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106</v>
      </c>
      <c r="M103" s="31"/>
      <c r="N103" s="31" t="s">
        <v>174</v>
      </c>
      <c r="O103" s="31"/>
      <c r="P103" s="32">
        <f>150000</f>
        <v>150000</v>
      </c>
      <c r="Q103" s="32"/>
      <c r="R103" s="32"/>
      <c r="S103" s="32">
        <f>141293.26</f>
        <v>141293.26</v>
      </c>
      <c r="T103" s="32"/>
      <c r="U103" s="32"/>
      <c r="V103" s="32"/>
      <c r="W103" s="33">
        <f>8706.74</f>
        <v>8706.74</v>
      </c>
      <c r="X103" s="33"/>
    </row>
    <row r="104" spans="1:24" s="1" customFormat="1" ht="13.5" customHeight="1">
      <c r="A104" s="30" t="s">
        <v>113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106</v>
      </c>
      <c r="M104" s="31"/>
      <c r="N104" s="31" t="s">
        <v>175</v>
      </c>
      <c r="O104" s="31"/>
      <c r="P104" s="32">
        <f>100000</f>
        <v>100000</v>
      </c>
      <c r="Q104" s="32"/>
      <c r="R104" s="32"/>
      <c r="S104" s="32">
        <f>99700</f>
        <v>99700</v>
      </c>
      <c r="T104" s="32"/>
      <c r="U104" s="32"/>
      <c r="V104" s="32"/>
      <c r="W104" s="33">
        <f>300</f>
        <v>300</v>
      </c>
      <c r="X104" s="33"/>
    </row>
    <row r="105" spans="1:24" s="1" customFormat="1" ht="13.5" customHeight="1">
      <c r="A105" s="30" t="s">
        <v>113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106</v>
      </c>
      <c r="M105" s="31"/>
      <c r="N105" s="31" t="s">
        <v>176</v>
      </c>
      <c r="O105" s="31"/>
      <c r="P105" s="32">
        <f>400000</f>
        <v>400000</v>
      </c>
      <c r="Q105" s="32"/>
      <c r="R105" s="32"/>
      <c r="S105" s="32">
        <f>396717.28</f>
        <v>396717.28</v>
      </c>
      <c r="T105" s="32"/>
      <c r="U105" s="32"/>
      <c r="V105" s="32"/>
      <c r="W105" s="33">
        <f>3282.72</f>
        <v>3282.72</v>
      </c>
      <c r="X105" s="33"/>
    </row>
    <row r="106" spans="1:24" s="1" customFormat="1" ht="13.5" customHeight="1">
      <c r="A106" s="30" t="s">
        <v>113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106</v>
      </c>
      <c r="M106" s="31"/>
      <c r="N106" s="31" t="s">
        <v>177</v>
      </c>
      <c r="O106" s="31"/>
      <c r="P106" s="32">
        <f>3071211.59</f>
        <v>3071211.59</v>
      </c>
      <c r="Q106" s="32"/>
      <c r="R106" s="32"/>
      <c r="S106" s="32">
        <f>2901073.9</f>
        <v>2901073.9</v>
      </c>
      <c r="T106" s="32"/>
      <c r="U106" s="32"/>
      <c r="V106" s="32"/>
      <c r="W106" s="33">
        <f>170137.69</f>
        <v>170137.69</v>
      </c>
      <c r="X106" s="33"/>
    </row>
    <row r="107" spans="1:24" s="1" customFormat="1" ht="13.5" customHeight="1">
      <c r="A107" s="30" t="s">
        <v>113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106</v>
      </c>
      <c r="M107" s="31"/>
      <c r="N107" s="31" t="s">
        <v>178</v>
      </c>
      <c r="O107" s="31"/>
      <c r="P107" s="32">
        <f>30000</f>
        <v>30000</v>
      </c>
      <c r="Q107" s="32"/>
      <c r="R107" s="32"/>
      <c r="S107" s="32">
        <f>29903.66</f>
        <v>29903.66</v>
      </c>
      <c r="T107" s="32"/>
      <c r="U107" s="32"/>
      <c r="V107" s="32"/>
      <c r="W107" s="33">
        <f>96.34</f>
        <v>96.34</v>
      </c>
      <c r="X107" s="33"/>
    </row>
    <row r="108" spans="1:24" s="1" customFormat="1" ht="33.75" customHeight="1">
      <c r="A108" s="30" t="s">
        <v>179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106</v>
      </c>
      <c r="M108" s="31"/>
      <c r="N108" s="31" t="s">
        <v>180</v>
      </c>
      <c r="O108" s="31"/>
      <c r="P108" s="32">
        <f>13425000</f>
        <v>13425000</v>
      </c>
      <c r="Q108" s="32"/>
      <c r="R108" s="32"/>
      <c r="S108" s="32">
        <f>10655500</f>
        <v>10655500</v>
      </c>
      <c r="T108" s="32"/>
      <c r="U108" s="32"/>
      <c r="V108" s="32"/>
      <c r="W108" s="33">
        <f>2769500</f>
        <v>2769500</v>
      </c>
      <c r="X108" s="33"/>
    </row>
    <row r="109" spans="1:24" s="1" customFormat="1" ht="33.75" customHeight="1">
      <c r="A109" s="30" t="s">
        <v>179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106</v>
      </c>
      <c r="M109" s="31"/>
      <c r="N109" s="31" t="s">
        <v>181</v>
      </c>
      <c r="O109" s="31"/>
      <c r="P109" s="32">
        <f>45000</f>
        <v>45000</v>
      </c>
      <c r="Q109" s="32"/>
      <c r="R109" s="32"/>
      <c r="S109" s="34" t="s">
        <v>46</v>
      </c>
      <c r="T109" s="34"/>
      <c r="U109" s="34"/>
      <c r="V109" s="34"/>
      <c r="W109" s="33">
        <f>45000</f>
        <v>45000</v>
      </c>
      <c r="X109" s="33"/>
    </row>
    <row r="110" spans="1:24" s="1" customFormat="1" ht="13.5" customHeight="1">
      <c r="A110" s="30" t="s">
        <v>113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106</v>
      </c>
      <c r="M110" s="31"/>
      <c r="N110" s="31" t="s">
        <v>182</v>
      </c>
      <c r="O110" s="31"/>
      <c r="P110" s="32">
        <f>180000</f>
        <v>180000</v>
      </c>
      <c r="Q110" s="32"/>
      <c r="R110" s="32"/>
      <c r="S110" s="32">
        <f>179095</f>
        <v>179095</v>
      </c>
      <c r="T110" s="32"/>
      <c r="U110" s="32"/>
      <c r="V110" s="32"/>
      <c r="W110" s="33">
        <f>905</f>
        <v>905</v>
      </c>
      <c r="X110" s="33"/>
    </row>
    <row r="111" spans="1:24" s="1" customFormat="1" ht="13.5" customHeight="1">
      <c r="A111" s="30" t="s">
        <v>183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106</v>
      </c>
      <c r="M111" s="31"/>
      <c r="N111" s="31" t="s">
        <v>184</v>
      </c>
      <c r="O111" s="31"/>
      <c r="P111" s="32">
        <f>587600</f>
        <v>587600</v>
      </c>
      <c r="Q111" s="32"/>
      <c r="R111" s="32"/>
      <c r="S111" s="32">
        <f>549432.95</f>
        <v>549432.95</v>
      </c>
      <c r="T111" s="32"/>
      <c r="U111" s="32"/>
      <c r="V111" s="32"/>
      <c r="W111" s="33">
        <f>38167.05</f>
        <v>38167.05</v>
      </c>
      <c r="X111" s="33"/>
    </row>
    <row r="112" spans="1:24" s="1" customFormat="1" ht="33.75" customHeight="1">
      <c r="A112" s="30" t="s">
        <v>179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106</v>
      </c>
      <c r="M112" s="31"/>
      <c r="N112" s="31" t="s">
        <v>185</v>
      </c>
      <c r="O112" s="31"/>
      <c r="P112" s="32">
        <f>2080000</f>
        <v>2080000</v>
      </c>
      <c r="Q112" s="32"/>
      <c r="R112" s="32"/>
      <c r="S112" s="32">
        <f>1606166</f>
        <v>1606166</v>
      </c>
      <c r="T112" s="32"/>
      <c r="U112" s="32"/>
      <c r="V112" s="32"/>
      <c r="W112" s="33">
        <f>473834</f>
        <v>473834</v>
      </c>
      <c r="X112" s="33"/>
    </row>
    <row r="113" spans="1:24" s="1" customFormat="1" ht="24" customHeight="1">
      <c r="A113" s="30" t="s">
        <v>186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106</v>
      </c>
      <c r="M113" s="31"/>
      <c r="N113" s="31" t="s">
        <v>187</v>
      </c>
      <c r="O113" s="31"/>
      <c r="P113" s="32">
        <f>510200</f>
        <v>510200</v>
      </c>
      <c r="Q113" s="32"/>
      <c r="R113" s="32"/>
      <c r="S113" s="32">
        <f>460627.06</f>
        <v>460627.06</v>
      </c>
      <c r="T113" s="32"/>
      <c r="U113" s="32"/>
      <c r="V113" s="32"/>
      <c r="W113" s="33">
        <f>49572.94</f>
        <v>49572.94</v>
      </c>
      <c r="X113" s="33"/>
    </row>
    <row r="114" spans="1:24" s="1" customFormat="1" ht="24" customHeight="1">
      <c r="A114" s="30" t="s">
        <v>186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106</v>
      </c>
      <c r="M114" s="31"/>
      <c r="N114" s="31" t="s">
        <v>188</v>
      </c>
      <c r="O114" s="31"/>
      <c r="P114" s="32">
        <f>70060700</f>
        <v>70060700</v>
      </c>
      <c r="Q114" s="32"/>
      <c r="R114" s="32"/>
      <c r="S114" s="32">
        <f>31988482.8</f>
        <v>31988482.8</v>
      </c>
      <c r="T114" s="32"/>
      <c r="U114" s="32"/>
      <c r="V114" s="32"/>
      <c r="W114" s="33">
        <f>38072217.2</f>
        <v>38072217.2</v>
      </c>
      <c r="X114" s="33"/>
    </row>
    <row r="115" spans="1:24" s="1" customFormat="1" ht="24" customHeight="1">
      <c r="A115" s="30" t="s">
        <v>186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106</v>
      </c>
      <c r="M115" s="31"/>
      <c r="N115" s="31" t="s">
        <v>189</v>
      </c>
      <c r="O115" s="31"/>
      <c r="P115" s="32">
        <f>99000</f>
        <v>99000</v>
      </c>
      <c r="Q115" s="32"/>
      <c r="R115" s="32"/>
      <c r="S115" s="32">
        <f>30000</f>
        <v>30000</v>
      </c>
      <c r="T115" s="32"/>
      <c r="U115" s="32"/>
      <c r="V115" s="32"/>
      <c r="W115" s="33">
        <f>69000</f>
        <v>69000</v>
      </c>
      <c r="X115" s="33"/>
    </row>
    <row r="116" spans="1:24" s="1" customFormat="1" ht="24" customHeight="1">
      <c r="A116" s="30" t="s">
        <v>186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106</v>
      </c>
      <c r="M116" s="31"/>
      <c r="N116" s="31" t="s">
        <v>190</v>
      </c>
      <c r="O116" s="31"/>
      <c r="P116" s="32">
        <f>10000</f>
        <v>10000</v>
      </c>
      <c r="Q116" s="32"/>
      <c r="R116" s="32"/>
      <c r="S116" s="34" t="s">
        <v>46</v>
      </c>
      <c r="T116" s="34"/>
      <c r="U116" s="34"/>
      <c r="V116" s="34"/>
      <c r="W116" s="33">
        <f>10000</f>
        <v>10000</v>
      </c>
      <c r="X116" s="33"/>
    </row>
    <row r="117" spans="1:24" s="1" customFormat="1" ht="13.5" customHeight="1">
      <c r="A117" s="30" t="s">
        <v>113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106</v>
      </c>
      <c r="M117" s="31"/>
      <c r="N117" s="31" t="s">
        <v>191</v>
      </c>
      <c r="O117" s="31"/>
      <c r="P117" s="32">
        <f>800000</f>
        <v>800000</v>
      </c>
      <c r="Q117" s="32"/>
      <c r="R117" s="32"/>
      <c r="S117" s="32">
        <f>735078</f>
        <v>735078</v>
      </c>
      <c r="T117" s="32"/>
      <c r="U117" s="32"/>
      <c r="V117" s="32"/>
      <c r="W117" s="33">
        <f>64922</f>
        <v>64922</v>
      </c>
      <c r="X117" s="33"/>
    </row>
    <row r="118" spans="1:24" s="1" customFormat="1" ht="13.5" customHeight="1">
      <c r="A118" s="30" t="s">
        <v>192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106</v>
      </c>
      <c r="M118" s="31"/>
      <c r="N118" s="31" t="s">
        <v>193</v>
      </c>
      <c r="O118" s="31"/>
      <c r="P118" s="32">
        <f>320000</f>
        <v>320000</v>
      </c>
      <c r="Q118" s="32"/>
      <c r="R118" s="32"/>
      <c r="S118" s="32">
        <f>266520.54</f>
        <v>266520.54</v>
      </c>
      <c r="T118" s="32"/>
      <c r="U118" s="32"/>
      <c r="V118" s="32"/>
      <c r="W118" s="33">
        <f>53479.46</f>
        <v>53479.46</v>
      </c>
      <c r="X118" s="33"/>
    </row>
    <row r="119" spans="1:24" s="1" customFormat="1" ht="15" customHeight="1">
      <c r="A119" s="36" t="s">
        <v>194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7" t="s">
        <v>195</v>
      </c>
      <c r="M119" s="37"/>
      <c r="N119" s="37" t="s">
        <v>37</v>
      </c>
      <c r="O119" s="37"/>
      <c r="P119" s="38">
        <f>465988.41</f>
        <v>465988.41</v>
      </c>
      <c r="Q119" s="38"/>
      <c r="R119" s="38"/>
      <c r="S119" s="38">
        <f>6685429.99</f>
        <v>6685429.99</v>
      </c>
      <c r="T119" s="38"/>
      <c r="U119" s="38"/>
      <c r="V119" s="38"/>
      <c r="W119" s="39" t="s">
        <v>37</v>
      </c>
      <c r="X119" s="39"/>
    </row>
    <row r="120" spans="1:24" s="1" customFormat="1" ht="13.5" customHeight="1">
      <c r="A120" s="7" t="s">
        <v>17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s="1" customFormat="1" ht="13.5" customHeight="1">
      <c r="A121" s="12" t="s">
        <v>196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s="1" customFormat="1" ht="45.75" customHeight="1">
      <c r="A122" s="13" t="s">
        <v>23</v>
      </c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 t="s">
        <v>24</v>
      </c>
      <c r="M122" s="13"/>
      <c r="N122" s="13" t="s">
        <v>197</v>
      </c>
      <c r="O122" s="13"/>
      <c r="P122" s="14" t="s">
        <v>26</v>
      </c>
      <c r="Q122" s="14"/>
      <c r="R122" s="14"/>
      <c r="S122" s="14" t="s">
        <v>27</v>
      </c>
      <c r="T122" s="14"/>
      <c r="U122" s="14"/>
      <c r="V122" s="14"/>
      <c r="W122" s="15" t="s">
        <v>28</v>
      </c>
      <c r="X122" s="15"/>
    </row>
    <row r="123" spans="1:24" s="1" customFormat="1" ht="12.75" customHeight="1">
      <c r="A123" s="16" t="s">
        <v>29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 t="s">
        <v>30</v>
      </c>
      <c r="M123" s="16"/>
      <c r="N123" s="16" t="s">
        <v>31</v>
      </c>
      <c r="O123" s="16"/>
      <c r="P123" s="17" t="s">
        <v>32</v>
      </c>
      <c r="Q123" s="17"/>
      <c r="R123" s="17"/>
      <c r="S123" s="17" t="s">
        <v>33</v>
      </c>
      <c r="T123" s="17"/>
      <c r="U123" s="17"/>
      <c r="V123" s="17"/>
      <c r="W123" s="18" t="s">
        <v>34</v>
      </c>
      <c r="X123" s="18"/>
    </row>
    <row r="124" spans="1:24" s="1" customFormat="1" ht="13.5" customHeight="1">
      <c r="A124" s="19" t="s">
        <v>198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20" t="s">
        <v>199</v>
      </c>
      <c r="M124" s="20"/>
      <c r="N124" s="20" t="s">
        <v>37</v>
      </c>
      <c r="O124" s="20"/>
      <c r="P124" s="40">
        <f>-465988.41</f>
        <v>-465988.41</v>
      </c>
      <c r="Q124" s="40"/>
      <c r="R124" s="40"/>
      <c r="S124" s="21">
        <f>-6685429.99</f>
        <v>-6685429.99</v>
      </c>
      <c r="T124" s="21"/>
      <c r="U124" s="21"/>
      <c r="V124" s="21"/>
      <c r="W124" s="41" t="s">
        <v>37</v>
      </c>
      <c r="X124" s="41"/>
    </row>
    <row r="125" spans="1:24" s="1" customFormat="1" ht="13.5" customHeight="1">
      <c r="A125" s="42" t="s">
        <v>200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3" t="s">
        <v>17</v>
      </c>
      <c r="M125" s="43"/>
      <c r="N125" s="43" t="s">
        <v>17</v>
      </c>
      <c r="O125" s="43"/>
      <c r="P125" s="44" t="s">
        <v>17</v>
      </c>
      <c r="Q125" s="44"/>
      <c r="R125" s="44"/>
      <c r="S125" s="45" t="s">
        <v>17</v>
      </c>
      <c r="T125" s="45"/>
      <c r="U125" s="45"/>
      <c r="V125" s="45"/>
      <c r="W125" s="46" t="s">
        <v>17</v>
      </c>
      <c r="X125" s="46"/>
    </row>
    <row r="126" spans="1:24" s="1" customFormat="1" ht="13.5" customHeight="1">
      <c r="A126" s="23" t="s">
        <v>201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47" t="s">
        <v>202</v>
      </c>
      <c r="M126" s="47"/>
      <c r="N126" s="24" t="s">
        <v>37</v>
      </c>
      <c r="O126" s="24"/>
      <c r="P126" s="48">
        <f>-2000000</f>
        <v>-2000000</v>
      </c>
      <c r="Q126" s="48"/>
      <c r="R126" s="48"/>
      <c r="S126" s="27" t="s">
        <v>46</v>
      </c>
      <c r="T126" s="27"/>
      <c r="U126" s="27"/>
      <c r="V126" s="27"/>
      <c r="W126" s="49">
        <f>-2000000</f>
        <v>-2000000</v>
      </c>
      <c r="X126" s="49"/>
    </row>
    <row r="127" spans="1:24" s="1" customFormat="1" ht="24" customHeight="1">
      <c r="A127" s="30" t="s">
        <v>203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202</v>
      </c>
      <c r="M127" s="31"/>
      <c r="N127" s="31" t="s">
        <v>204</v>
      </c>
      <c r="O127" s="31"/>
      <c r="P127" s="50">
        <f>-2000000</f>
        <v>-2000000</v>
      </c>
      <c r="Q127" s="50"/>
      <c r="R127" s="50"/>
      <c r="S127" s="34" t="s">
        <v>46</v>
      </c>
      <c r="T127" s="34"/>
      <c r="U127" s="34"/>
      <c r="V127" s="34"/>
      <c r="W127" s="51">
        <f>-2000000</f>
        <v>-2000000</v>
      </c>
      <c r="X127" s="51"/>
    </row>
    <row r="128" spans="1:24" s="1" customFormat="1" ht="13.5" customHeight="1">
      <c r="A128" s="30" t="s">
        <v>205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43" t="s">
        <v>206</v>
      </c>
      <c r="M128" s="43"/>
      <c r="N128" s="43" t="s">
        <v>37</v>
      </c>
      <c r="O128" s="43"/>
      <c r="P128" s="44" t="s">
        <v>46</v>
      </c>
      <c r="Q128" s="44"/>
      <c r="R128" s="44"/>
      <c r="S128" s="34" t="s">
        <v>46</v>
      </c>
      <c r="T128" s="34"/>
      <c r="U128" s="34"/>
      <c r="V128" s="34"/>
      <c r="W128" s="46" t="s">
        <v>46</v>
      </c>
      <c r="X128" s="46"/>
    </row>
    <row r="129" spans="1:24" s="1" customFormat="1" ht="13.5" customHeight="1">
      <c r="A129" s="30" t="s">
        <v>17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206</v>
      </c>
      <c r="M129" s="31"/>
      <c r="N129" s="31" t="s">
        <v>17</v>
      </c>
      <c r="O129" s="31"/>
      <c r="P129" s="52" t="s">
        <v>46</v>
      </c>
      <c r="Q129" s="52"/>
      <c r="R129" s="52"/>
      <c r="S129" s="34" t="s">
        <v>46</v>
      </c>
      <c r="T129" s="34"/>
      <c r="U129" s="34"/>
      <c r="V129" s="34"/>
      <c r="W129" s="53" t="s">
        <v>46</v>
      </c>
      <c r="X129" s="53"/>
    </row>
    <row r="130" spans="1:24" s="1" customFormat="1" ht="13.5" customHeight="1">
      <c r="A130" s="30" t="s">
        <v>207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208</v>
      </c>
      <c r="M130" s="31"/>
      <c r="N130" s="31" t="s">
        <v>209</v>
      </c>
      <c r="O130" s="31"/>
      <c r="P130" s="50">
        <f>1534011.59</f>
        <v>1534011.59</v>
      </c>
      <c r="Q130" s="50"/>
      <c r="R130" s="50"/>
      <c r="S130" s="32">
        <f>-6685429.99</f>
        <v>-6685429.99</v>
      </c>
      <c r="T130" s="32"/>
      <c r="U130" s="32"/>
      <c r="V130" s="32"/>
      <c r="W130" s="51">
        <f>8219441.58</f>
        <v>8219441.58</v>
      </c>
      <c r="X130" s="51"/>
    </row>
    <row r="131" spans="1:24" s="1" customFormat="1" ht="13.5" customHeight="1">
      <c r="A131" s="30" t="s">
        <v>210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211</v>
      </c>
      <c r="M131" s="31"/>
      <c r="N131" s="31" t="s">
        <v>212</v>
      </c>
      <c r="O131" s="31"/>
      <c r="P131" s="50">
        <f>-164340700</f>
        <v>-164340700</v>
      </c>
      <c r="Q131" s="50"/>
      <c r="R131" s="50"/>
      <c r="S131" s="32">
        <f>-121915933.98</f>
        <v>-121915933.98</v>
      </c>
      <c r="T131" s="32"/>
      <c r="U131" s="32"/>
      <c r="V131" s="32"/>
      <c r="W131" s="54" t="s">
        <v>37</v>
      </c>
      <c r="X131" s="54"/>
    </row>
    <row r="132" spans="1:24" s="1" customFormat="1" ht="13.5" customHeight="1">
      <c r="A132" s="30" t="s">
        <v>213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214</v>
      </c>
      <c r="M132" s="31"/>
      <c r="N132" s="31" t="s">
        <v>215</v>
      </c>
      <c r="O132" s="31"/>
      <c r="P132" s="50">
        <f>165874711.59</f>
        <v>165874711.59</v>
      </c>
      <c r="Q132" s="50"/>
      <c r="R132" s="50"/>
      <c r="S132" s="32">
        <f>115230503.99</f>
        <v>115230503.99</v>
      </c>
      <c r="T132" s="32"/>
      <c r="U132" s="32"/>
      <c r="V132" s="32"/>
      <c r="W132" s="54" t="s">
        <v>37</v>
      </c>
      <c r="X132" s="54"/>
    </row>
    <row r="133" spans="1:24" s="1" customFormat="1" ht="13.5" customHeight="1">
      <c r="A133" s="56" t="s">
        <v>17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</row>
    <row r="134" spans="1:24" s="1" customFormat="1" ht="24" customHeight="1">
      <c r="A134" s="7" t="s">
        <v>216</v>
      </c>
      <c r="B134" s="7"/>
      <c r="C134" s="7"/>
      <c r="D134" s="7"/>
      <c r="E134" s="7"/>
      <c r="F134" s="7"/>
      <c r="G134" s="7"/>
      <c r="H134" s="7"/>
      <c r="I134" s="55" t="s">
        <v>17</v>
      </c>
      <c r="J134" s="55"/>
      <c r="K134" s="55"/>
      <c r="L134" s="55"/>
      <c r="M134" s="55"/>
      <c r="N134" s="55" t="s">
        <v>217</v>
      </c>
      <c r="O134" s="55"/>
      <c r="P134" s="55"/>
      <c r="Q134" s="55"/>
      <c r="R134" s="7" t="s">
        <v>17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17</v>
      </c>
      <c r="B135" s="7"/>
      <c r="C135" s="7"/>
      <c r="D135" s="7"/>
      <c r="E135" s="7"/>
      <c r="F135" s="7"/>
      <c r="G135" s="7"/>
      <c r="H135" s="7"/>
      <c r="I135" s="10" t="s">
        <v>17</v>
      </c>
      <c r="J135" s="57" t="s">
        <v>218</v>
      </c>
      <c r="K135" s="57"/>
      <c r="L135" s="57"/>
      <c r="M135" s="10" t="s">
        <v>17</v>
      </c>
      <c r="N135" s="10" t="s">
        <v>17</v>
      </c>
      <c r="O135" s="57" t="s">
        <v>219</v>
      </c>
      <c r="P135" s="57"/>
      <c r="Q135" s="7" t="s">
        <v>17</v>
      </c>
      <c r="R135" s="7"/>
      <c r="S135" s="7"/>
      <c r="T135" s="7"/>
      <c r="U135" s="7"/>
      <c r="V135" s="7"/>
      <c r="W135" s="7"/>
      <c r="X135" s="7"/>
    </row>
    <row r="136" spans="1:24" s="1" customFormat="1" ht="7.5" customHeight="1">
      <c r="A136" s="7" t="s">
        <v>17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7" t="s">
        <v>220</v>
      </c>
      <c r="B137" s="7"/>
      <c r="C137" s="7"/>
      <c r="D137" s="7"/>
      <c r="E137" s="7"/>
      <c r="F137" s="7"/>
      <c r="G137" s="7"/>
      <c r="H137" s="7"/>
      <c r="I137" s="55" t="s">
        <v>17</v>
      </c>
      <c r="J137" s="55"/>
      <c r="K137" s="55"/>
      <c r="L137" s="55"/>
      <c r="M137" s="55"/>
      <c r="N137" s="55" t="s">
        <v>221</v>
      </c>
      <c r="O137" s="55"/>
      <c r="P137" s="55"/>
      <c r="Q137" s="55"/>
      <c r="R137" s="7" t="s">
        <v>17</v>
      </c>
      <c r="S137" s="7"/>
      <c r="T137" s="7"/>
      <c r="U137" s="7"/>
      <c r="V137" s="7"/>
      <c r="W137" s="7"/>
      <c r="X137" s="7"/>
    </row>
    <row r="138" spans="1:24" s="1" customFormat="1" ht="13.5" customHeight="1">
      <c r="A138" s="7" t="s">
        <v>17</v>
      </c>
      <c r="B138" s="7"/>
      <c r="C138" s="7"/>
      <c r="D138" s="7"/>
      <c r="E138" s="7"/>
      <c r="F138" s="7"/>
      <c r="G138" s="7"/>
      <c r="H138" s="7"/>
      <c r="I138" s="10" t="s">
        <v>17</v>
      </c>
      <c r="J138" s="57" t="s">
        <v>218</v>
      </c>
      <c r="K138" s="57"/>
      <c r="L138" s="57"/>
      <c r="M138" s="10" t="s">
        <v>17</v>
      </c>
      <c r="N138" s="10" t="s">
        <v>17</v>
      </c>
      <c r="O138" s="57" t="s">
        <v>219</v>
      </c>
      <c r="P138" s="57"/>
      <c r="Q138" s="7" t="s">
        <v>17</v>
      </c>
      <c r="R138" s="7"/>
      <c r="S138" s="7"/>
      <c r="T138" s="7"/>
      <c r="U138" s="7"/>
      <c r="V138" s="7"/>
      <c r="W138" s="7"/>
      <c r="X138" s="7"/>
    </row>
    <row r="139" spans="1:24" s="1" customFormat="1" ht="7.5" customHeight="1">
      <c r="A139" s="7" t="s">
        <v>17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s="1" customFormat="1" ht="13.5" customHeight="1">
      <c r="A140" s="7" t="s">
        <v>222</v>
      </c>
      <c r="B140" s="7"/>
      <c r="C140" s="55" t="s">
        <v>223</v>
      </c>
      <c r="D140" s="55"/>
      <c r="E140" s="55"/>
      <c r="F140" s="55"/>
      <c r="G140" s="55"/>
      <c r="H140" s="55"/>
      <c r="I140" s="55" t="s">
        <v>17</v>
      </c>
      <c r="J140" s="55"/>
      <c r="K140" s="55"/>
      <c r="L140" s="55"/>
      <c r="M140" s="55"/>
      <c r="N140" s="55" t="s">
        <v>224</v>
      </c>
      <c r="O140" s="55"/>
      <c r="P140" s="55"/>
      <c r="Q140" s="55"/>
      <c r="R140" s="7" t="s">
        <v>17</v>
      </c>
      <c r="S140" s="7"/>
      <c r="T140" s="7"/>
      <c r="U140" s="7"/>
      <c r="V140" s="7"/>
      <c r="W140" s="7"/>
      <c r="X140" s="7"/>
    </row>
    <row r="141" spans="1:24" s="1" customFormat="1" ht="13.5" customHeight="1">
      <c r="A141" s="7" t="s">
        <v>17</v>
      </c>
      <c r="B141" s="7"/>
      <c r="C141" s="10" t="s">
        <v>17</v>
      </c>
      <c r="D141" s="57" t="s">
        <v>225</v>
      </c>
      <c r="E141" s="57"/>
      <c r="F141" s="57"/>
      <c r="G141" s="57"/>
      <c r="H141" s="10" t="s">
        <v>17</v>
      </c>
      <c r="I141" s="10" t="s">
        <v>17</v>
      </c>
      <c r="J141" s="57" t="s">
        <v>218</v>
      </c>
      <c r="K141" s="57"/>
      <c r="L141" s="57"/>
      <c r="M141" s="10" t="s">
        <v>17</v>
      </c>
      <c r="N141" s="10" t="s">
        <v>17</v>
      </c>
      <c r="O141" s="57" t="s">
        <v>219</v>
      </c>
      <c r="P141" s="57"/>
      <c r="Q141" s="7" t="s">
        <v>17</v>
      </c>
      <c r="R141" s="7"/>
      <c r="S141" s="7"/>
      <c r="T141" s="7"/>
      <c r="U141" s="7"/>
      <c r="V141" s="7"/>
      <c r="W141" s="7"/>
      <c r="X141" s="7"/>
    </row>
    <row r="142" spans="1:24" s="1" customFormat="1" ht="15.75" customHeight="1">
      <c r="A142" s="7" t="s">
        <v>17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s="1" customFormat="1" ht="13.5" customHeight="1">
      <c r="A143" s="58" t="s">
        <v>226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7" t="s">
        <v>17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s="1" customFormat="1" ht="13.5" customHeight="1">
      <c r="A144" s="4" t="s">
        <v>227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</sheetData>
  <sheetProtection/>
  <mergeCells count="767">
    <mergeCell ref="A143:J143"/>
    <mergeCell ref="K143:X143"/>
    <mergeCell ref="A144:X144"/>
    <mergeCell ref="A141:B141"/>
    <mergeCell ref="D141:G141"/>
    <mergeCell ref="J141:L141"/>
    <mergeCell ref="O141:P141"/>
    <mergeCell ref="Q141:X141"/>
    <mergeCell ref="A142:X142"/>
    <mergeCell ref="A139:X139"/>
    <mergeCell ref="A140:B140"/>
    <mergeCell ref="C140:H140"/>
    <mergeCell ref="I140:M140"/>
    <mergeCell ref="N140:Q140"/>
    <mergeCell ref="R140:X140"/>
    <mergeCell ref="A136:X136"/>
    <mergeCell ref="A137:H137"/>
    <mergeCell ref="I137:M137"/>
    <mergeCell ref="N137:Q137"/>
    <mergeCell ref="R137:X137"/>
    <mergeCell ref="A138:H138"/>
    <mergeCell ref="J138:L138"/>
    <mergeCell ref="O138:P138"/>
    <mergeCell ref="Q138:X138"/>
    <mergeCell ref="A133:X133"/>
    <mergeCell ref="A134:H134"/>
    <mergeCell ref="I134:M134"/>
    <mergeCell ref="N134:Q134"/>
    <mergeCell ref="R134:X134"/>
    <mergeCell ref="A135:H135"/>
    <mergeCell ref="J135:L135"/>
    <mergeCell ref="O135:P135"/>
    <mergeCell ref="Q135:X135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0:X120"/>
    <mergeCell ref="A121:X121"/>
    <mergeCell ref="A122:K122"/>
    <mergeCell ref="L122:M122"/>
    <mergeCell ref="N122:O122"/>
    <mergeCell ref="P122:R122"/>
    <mergeCell ref="S122:V122"/>
    <mergeCell ref="W122:X122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5:X45"/>
    <mergeCell ref="A46:X46"/>
    <mergeCell ref="A47:K47"/>
    <mergeCell ref="L47:M47"/>
    <mergeCell ref="N47:O47"/>
    <mergeCell ref="P47:R47"/>
    <mergeCell ref="S47:V47"/>
    <mergeCell ref="W47:X47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5" max="255" man="1"/>
    <brk id="12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2023-04-13T06:53:46Z</dcterms:created>
  <dcterms:modified xsi:type="dcterms:W3CDTF">2023-04-13T06:53:46Z</dcterms:modified>
  <cp:category/>
  <cp:version/>
  <cp:contentType/>
  <cp:contentStatus/>
</cp:coreProperties>
</file>