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<sst xmlns="http://schemas.openxmlformats.org/spreadsheetml/2006/main" count="438" uniqueCount="198">
  <si>
    <t>ОТЧЕТ ОБ ИСПОЛНЕНИИ БЮДЖЕТА</t>
  </si>
  <si>
    <t>КОДЫ</t>
  </si>
  <si>
    <t xml:space="preserve">Форма по ОКУД </t>
  </si>
  <si>
    <t>0503117</t>
  </si>
  <si>
    <t>на 1 апреля 2024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</si>
  <si>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</si>
  <si>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</si>
  <si>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</si>
  <si>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</si>
  <si>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</si>
  <si>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</si>
  <si>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</si>
  <si>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</si>
  <si>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</si>
  <si>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</si>
  <si>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</si>
  <si>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</si>
  <si>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</si>
  <si>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</si>
  <si>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</si>
  <si>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</si>
  <si>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</si>
  <si>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</si>
  <si>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</si>
  <si>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</si>
  <si>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</si>
  <si>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</si>
  <si>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</si>
  <si>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</si>
  <si>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</si>
  <si>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</si>
  <si>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</si>
  <si>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</si>
  <si>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</si>
  <si>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</si>
  <si>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</si>
  <si>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</si>
  <si>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</si>
  <si>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</si>
  <si>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</si>
  <si>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</si>
  <si>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</si>
  <si>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</si>
  <si>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</si>
  <si>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</si>
  <si>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</si>
  <si>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</si>
  <si>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</si>
  <si>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</si>
  <si>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</si>
  <si>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</si>
  <si>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182 10102140 01 0000 110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</si>
  <si>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</si>
  <si>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</si>
  <si>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</si>
  <si>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</si>
  <si>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</si>
  <si>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</si>
  <si>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</si>
  <si>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</si>
  <si>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</si>
  <si>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</si>
  <si>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</si>
  <si>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</si>
  <si>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</si>
  <si>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</si>
  <si>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</si>
  <si>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</si>
  <si>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</si>
  <si>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</si>
  <si>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</si>
  <si>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</si>
  <si>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</si>
  <si>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</si>
  <si>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</si>
  <si>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</si>
  <si>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</si>
  <si>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</si>
  <si>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</si>
  <si>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</si>
  <si>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</si>
  <si>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</si>
  <si>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</si>
  <si>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</si>
  <si>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</si>
  <si>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</si>
  <si>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</si>
  <si>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</si>
  <si>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</si>
  <si>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</si>
  <si>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</si>
  <si>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</si>
  <si>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</si>
  <si>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992 0104 5020000190 121</t>
  </si>
  <si>
    <t>992 0104 5020000190 129</t>
  </si>
  <si>
    <t>Прочая закупка товаров, работ и услуг</t>
  </si>
  <si>
    <t>992 0104 5020000190 244</t>
  </si>
  <si>
    <t>Уплата прочих налогов, сборов</t>
  </si>
  <si>
    <t>992 0104 5020000190 852</t>
  </si>
  <si>
    <t>Уплата иных платежей</t>
  </si>
  <si>
    <t>992 0104 5020000190 853</t>
  </si>
  <si>
    <t>992 0104 5030060190 244</t>
  </si>
  <si>
    <t>Иные межбюджетные трансферты</t>
  </si>
  <si>
    <t>992 0106 7590000190 540</t>
  </si>
  <si>
    <t>Специальные расходы</t>
  </si>
  <si>
    <t>992 0107 5040012030 880</t>
  </si>
  <si>
    <t>Резервные средства</t>
  </si>
  <si>
    <t>992 0111 5050010490 870</t>
  </si>
  <si>
    <t>992 0113 0100100000 244</t>
  </si>
  <si>
    <t>992 0113 5210010390 852</t>
  </si>
  <si>
    <t>992 0113 5210010390 853</t>
  </si>
  <si>
    <t>Фонд оплаты труда учреждений</t>
  </si>
  <si>
    <t>992 0113 5330000590 111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</si>
  <si>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</si>
  <si>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992 0113 5330000590 119</t>
  </si>
  <si>
    <t>992 0113 5330000590 244</t>
  </si>
  <si>
    <t>Закупка энергетических ресурсов</t>
  </si>
  <si>
    <t>992 0113 5330000590 247</t>
  </si>
  <si>
    <t>992 0113 5330000590 852</t>
  </si>
  <si>
    <t>992 0113 5330000590 853</t>
  </si>
  <si>
    <t>992 0203 5530051180 121</t>
  </si>
  <si>
    <t>992 0203 5530051180 129</t>
  </si>
  <si>
    <t>992 0310 5410000000 244</t>
  </si>
  <si>
    <t>992 0310 5420000000 244</t>
  </si>
  <si>
    <t>992 0310 5430000000 244</t>
  </si>
  <si>
    <t>992 0310 9990010010 870</t>
  </si>
  <si>
    <t>Субсидии бюджетным учреждениям на иные цели</t>
  </si>
  <si>
    <t>992 0401 1300200000 612</t>
  </si>
  <si>
    <t>992 0409 2020100000 244</t>
  </si>
  <si>
    <t>992 0409 9990010910 244</t>
  </si>
  <si>
    <t>992 0412 5210010390 244</t>
  </si>
  <si>
    <t>992 0412 5210011000 244</t>
  </si>
  <si>
    <t>992 0412 5210011000 247</t>
  </si>
  <si>
    <t>992 0412 5210011000 852</t>
  </si>
  <si>
    <t>992 0412 5220000000 244</t>
  </si>
  <si>
    <t>Закупка товаров, работ, услуг в целях капитального ремонта государственного (муниципального) имущества</t>
  </si>
  <si>
    <t>992 0502 5610000000 243</t>
  </si>
  <si>
    <t>992 0502 5610000000 244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</si>
  <si>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</si>
  <si>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992 0502 5620100000 813</t>
  </si>
  <si>
    <t>992 0502 5630000000 244</t>
  </si>
  <si>
    <t>992 0502 5640000000 813</t>
  </si>
  <si>
    <t>992 0502 5650000000 243</t>
  </si>
  <si>
    <t>992 0503 2200700000 244</t>
  </si>
  <si>
    <t>992 0503 2400200000 244</t>
  </si>
  <si>
    <t>992 0503 2400300000 244</t>
  </si>
  <si>
    <t>992 0503 7010000000 244</t>
  </si>
  <si>
    <t>992 0503 7020000000 244</t>
  </si>
  <si>
    <t>992 0503 7040000000 244</t>
  </si>
  <si>
    <t>992 0503 7060000000 244</t>
  </si>
  <si>
    <t>992 0503 7060000000 247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</si>
  <si>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</si>
  <si>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</si>
  <si>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992 0801 5320100590 611</t>
  </si>
  <si>
    <t>992 0801 5320200590 611</t>
  </si>
  <si>
    <t>992 0801 9990010080 244</t>
  </si>
  <si>
    <t>992 0804 9990010930 244</t>
  </si>
  <si>
    <t>Иные пенсии, социальные доплаты к пенсиям</t>
  </si>
  <si>
    <t>992 1001 9990041210 312</t>
  </si>
  <si>
    <t>Бюджетные инвестиции в объекты капитального строительства государственной (муниципальной) собственности</t>
  </si>
  <si>
    <t>992 1102 1300700000 414</t>
  </si>
  <si>
    <t>992 1102 5310000590 611</t>
  </si>
  <si>
    <t>992 1204 9990010950 244</t>
  </si>
  <si>
    <t>Обслуживание муниципального долга</t>
  </si>
  <si>
    <t>992 1301 5090010520 730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</si>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</sst>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90">
      <selection activeCell="AE95" sqref="AE9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45383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6" t="s">
        <v>7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17</v>
      </c>
    </row>
    <row r="8" spans="1:24" s="1" customFormat="1" ht="13.5" customHeight="1">
      <c r="A8" s="9" t="s">
        <v>18</v>
      </c>
      <c r="B8" s="9"/>
      <c r="C8" s="9"/>
      <c r="D8" s="9"/>
      <c r="E8" s="9" t="s">
        <v>19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20</v>
      </c>
      <c r="U8" s="10"/>
      <c r="V8" s="10"/>
      <c r="W8" s="10"/>
      <c r="X8" s="7" t="s">
        <v>21</v>
      </c>
    </row>
    <row r="9" spans="1:24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24</v>
      </c>
      <c r="M10" s="43"/>
      <c r="N10" s="43" t="s">
        <v>25</v>
      </c>
      <c r="O10" s="43"/>
      <c r="P10" s="44" t="s">
        <v>26</v>
      </c>
      <c r="Q10" s="44"/>
      <c r="R10" s="44"/>
      <c r="S10" s="44" t="s">
        <v>27</v>
      </c>
      <c r="T10" s="44"/>
      <c r="U10" s="44"/>
      <c r="V10" s="44"/>
      <c r="W10" s="45" t="s">
        <v>28</v>
      </c>
      <c r="X10" s="45"/>
    </row>
    <row r="11" spans="1:24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30</v>
      </c>
      <c r="M11" s="39"/>
      <c r="N11" s="39" t="s">
        <v>31</v>
      </c>
      <c r="O11" s="39"/>
      <c r="P11" s="40" t="s">
        <v>32</v>
      </c>
      <c r="Q11" s="40"/>
      <c r="R11" s="40"/>
      <c r="S11" s="40" t="s">
        <v>33</v>
      </c>
      <c r="T11" s="40"/>
      <c r="U11" s="40"/>
      <c r="V11" s="40"/>
      <c r="W11" s="41" t="s">
        <v>34</v>
      </c>
      <c r="X11" s="41"/>
    </row>
    <row r="12" spans="1:24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36</v>
      </c>
      <c r="M12" s="35"/>
      <c r="N12" s="35" t="s">
        <v>37</v>
      </c>
      <c r="O12" s="35"/>
      <c r="P12" s="37">
        <f>64634800</f>
        <v>64634800</v>
      </c>
      <c r="Q12" s="37"/>
      <c r="R12" s="37"/>
      <c r="S12" s="37">
        <f>14993387.24</f>
        <v>14993387.24</v>
      </c>
      <c r="T12" s="37"/>
      <c r="U12" s="37"/>
      <c r="V12" s="37"/>
      <c r="W12" s="51">
        <f>49641412.76</f>
        <v>49641412.76</v>
      </c>
      <c r="X12" s="51"/>
    </row>
    <row r="13" spans="1:24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36</v>
      </c>
      <c r="M13" s="28"/>
      <c r="N13" s="28" t="s">
        <v>39</v>
      </c>
      <c r="O13" s="28"/>
      <c r="P13" s="53">
        <f>28130000</f>
        <v>28130000</v>
      </c>
      <c r="Q13" s="53"/>
      <c r="R13" s="53"/>
      <c r="S13" s="53">
        <f>7932751.31</f>
        <v>7932751.31</v>
      </c>
      <c r="T13" s="53"/>
      <c r="U13" s="53"/>
      <c r="V13" s="53"/>
      <c r="W13" s="55">
        <f>20197248.69</f>
        <v>20197248.69</v>
      </c>
      <c r="X13" s="55"/>
    </row>
    <row r="14" spans="1:24" s="1" customFormat="1" ht="66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36</v>
      </c>
      <c r="M14" s="28"/>
      <c r="N14" s="28" t="s">
        <v>41</v>
      </c>
      <c r="O14" s="28"/>
      <c r="P14" s="53">
        <f>650000</f>
        <v>650000</v>
      </c>
      <c r="Q14" s="53"/>
      <c r="R14" s="53"/>
      <c r="S14" s="53">
        <f>7875.3</f>
        <v>7875.3</v>
      </c>
      <c r="T14" s="53"/>
      <c r="U14" s="53"/>
      <c r="V14" s="53"/>
      <c r="W14" s="55">
        <f>642124.7</f>
        <v>642124.7</v>
      </c>
      <c r="X14" s="55"/>
    </row>
    <row r="15" spans="1:24" s="1" customFormat="1" ht="54.75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36</v>
      </c>
      <c r="M15" s="28"/>
      <c r="N15" s="28" t="s">
        <v>43</v>
      </c>
      <c r="O15" s="28"/>
      <c r="P15" s="53">
        <f>800000</f>
        <v>800000</v>
      </c>
      <c r="Q15" s="53"/>
      <c r="R15" s="53"/>
      <c r="S15" s="53">
        <f>26423.83</f>
        <v>26423.83</v>
      </c>
      <c r="T15" s="53"/>
      <c r="U15" s="53"/>
      <c r="V15" s="53"/>
      <c r="W15" s="55">
        <f>773576.17</f>
        <v>773576.17</v>
      </c>
      <c r="X15" s="55"/>
    </row>
    <row r="16" spans="1:24" s="1" customFormat="1" ht="54.75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36</v>
      </c>
      <c r="M16" s="28"/>
      <c r="N16" s="28" t="s">
        <v>45</v>
      </c>
      <c r="O16" s="28"/>
      <c r="P16" s="53">
        <f>180000</f>
        <v>180000</v>
      </c>
      <c r="Q16" s="53"/>
      <c r="R16" s="53"/>
      <c r="S16" s="53">
        <f>37838.5</f>
        <v>37838.5</v>
      </c>
      <c r="T16" s="53"/>
      <c r="U16" s="53"/>
      <c r="V16" s="53"/>
      <c r="W16" s="55">
        <f>142161.5</f>
        <v>142161.5</v>
      </c>
      <c r="X16" s="55"/>
    </row>
    <row r="17" spans="1:24" s="1" customFormat="1" ht="85.5" customHeight="1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36</v>
      </c>
      <c r="M17" s="28"/>
      <c r="N17" s="28" t="s">
        <v>47</v>
      </c>
      <c r="O17" s="28"/>
      <c r="P17" s="53">
        <f>600000</f>
        <v>600000</v>
      </c>
      <c r="Q17" s="53"/>
      <c r="R17" s="53"/>
      <c r="S17" s="53">
        <f>-68600.67</f>
        <v>-68600.67</v>
      </c>
      <c r="T17" s="53"/>
      <c r="U17" s="53"/>
      <c r="V17" s="53"/>
      <c r="W17" s="55">
        <f>668600.67</f>
        <v>668600.67</v>
      </c>
      <c r="X17" s="55"/>
    </row>
    <row r="18" spans="1:24" s="1" customFormat="1" ht="45" customHeight="1">
      <c r="A18" s="26" t="s">
        <v>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36</v>
      </c>
      <c r="M18" s="28"/>
      <c r="N18" s="28" t="s">
        <v>49</v>
      </c>
      <c r="O18" s="28"/>
      <c r="P18" s="53">
        <f>102000</f>
        <v>102000</v>
      </c>
      <c r="Q18" s="53"/>
      <c r="R18" s="53"/>
      <c r="S18" s="53">
        <f>97500</f>
        <v>97500</v>
      </c>
      <c r="T18" s="53"/>
      <c r="U18" s="53"/>
      <c r="V18" s="53"/>
      <c r="W18" s="55">
        <f>4500</f>
        <v>4500</v>
      </c>
      <c r="X18" s="55"/>
    </row>
    <row r="19" spans="1:24" s="1" customFormat="1" ht="45" customHeight="1">
      <c r="A19" s="26" t="s">
        <v>50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36</v>
      </c>
      <c r="M19" s="28"/>
      <c r="N19" s="28" t="s">
        <v>51</v>
      </c>
      <c r="O19" s="28"/>
      <c r="P19" s="30" t="s">
        <v>52</v>
      </c>
      <c r="Q19" s="30"/>
      <c r="R19" s="30"/>
      <c r="S19" s="53">
        <f>38755.53</f>
        <v>38755.53</v>
      </c>
      <c r="T19" s="53"/>
      <c r="U19" s="53"/>
      <c r="V19" s="53"/>
      <c r="W19" s="54" t="s">
        <v>52</v>
      </c>
      <c r="X19" s="54"/>
    </row>
    <row r="20" spans="1:24" s="1" customFormat="1" ht="66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36</v>
      </c>
      <c r="M20" s="28"/>
      <c r="N20" s="28" t="s">
        <v>54</v>
      </c>
      <c r="O20" s="28"/>
      <c r="P20" s="53">
        <f>3073400</f>
        <v>3073400</v>
      </c>
      <c r="Q20" s="53"/>
      <c r="R20" s="53"/>
      <c r="S20" s="53">
        <f>828057.51</f>
        <v>828057.51</v>
      </c>
      <c r="T20" s="53"/>
      <c r="U20" s="53"/>
      <c r="V20" s="53"/>
      <c r="W20" s="55">
        <f>2245342.49</f>
        <v>2245342.49</v>
      </c>
      <c r="X20" s="55"/>
    </row>
    <row r="21" spans="1:24" s="1" customFormat="1" ht="75.7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36</v>
      </c>
      <c r="M21" s="28"/>
      <c r="N21" s="28" t="s">
        <v>56</v>
      </c>
      <c r="O21" s="28"/>
      <c r="P21" s="53">
        <f>36000</f>
        <v>36000</v>
      </c>
      <c r="Q21" s="53"/>
      <c r="R21" s="53"/>
      <c r="S21" s="53">
        <f>4356.62</f>
        <v>4356.62</v>
      </c>
      <c r="T21" s="53"/>
      <c r="U21" s="53"/>
      <c r="V21" s="53"/>
      <c r="W21" s="55">
        <f>31643.38</f>
        <v>31643.38</v>
      </c>
      <c r="X21" s="55"/>
    </row>
    <row r="22" spans="1:24" s="1" customFormat="1" ht="66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36</v>
      </c>
      <c r="M22" s="28"/>
      <c r="N22" s="28" t="s">
        <v>58</v>
      </c>
      <c r="O22" s="28"/>
      <c r="P22" s="53">
        <f>3532000</f>
        <v>3532000</v>
      </c>
      <c r="Q22" s="53"/>
      <c r="R22" s="53"/>
      <c r="S22" s="53">
        <f>944437.9</f>
        <v>944437.9</v>
      </c>
      <c r="T22" s="53"/>
      <c r="U22" s="53"/>
      <c r="V22" s="53"/>
      <c r="W22" s="55">
        <f>2587562.1</f>
        <v>2587562.1</v>
      </c>
      <c r="X22" s="55"/>
    </row>
    <row r="23" spans="1:24" s="1" customFormat="1" ht="66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36</v>
      </c>
      <c r="M23" s="28"/>
      <c r="N23" s="28" t="s">
        <v>60</v>
      </c>
      <c r="O23" s="28"/>
      <c r="P23" s="30" t="s">
        <v>52</v>
      </c>
      <c r="Q23" s="30"/>
      <c r="R23" s="30"/>
      <c r="S23" s="53">
        <f>-87914.83</f>
        <v>-87914.83</v>
      </c>
      <c r="T23" s="53"/>
      <c r="U23" s="53"/>
      <c r="V23" s="53"/>
      <c r="W23" s="54" t="s">
        <v>52</v>
      </c>
      <c r="X23" s="54"/>
    </row>
    <row r="24" spans="1:24" s="1" customFormat="1" ht="13.5" customHeight="1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36</v>
      </c>
      <c r="M24" s="28"/>
      <c r="N24" s="28" t="s">
        <v>62</v>
      </c>
      <c r="O24" s="28"/>
      <c r="P24" s="53">
        <f>1677500</f>
        <v>1677500</v>
      </c>
      <c r="Q24" s="53"/>
      <c r="R24" s="53"/>
      <c r="S24" s="53">
        <f>2227339.69</f>
        <v>2227339.69</v>
      </c>
      <c r="T24" s="53"/>
      <c r="U24" s="53"/>
      <c r="V24" s="53"/>
      <c r="W24" s="54" t="s">
        <v>52</v>
      </c>
      <c r="X24" s="54"/>
    </row>
    <row r="25" spans="1:24" s="1" customFormat="1" ht="24" customHeight="1">
      <c r="A25" s="26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36</v>
      </c>
      <c r="M25" s="28"/>
      <c r="N25" s="28" t="s">
        <v>64</v>
      </c>
      <c r="O25" s="28"/>
      <c r="P25" s="53">
        <f>8939000</f>
        <v>8939000</v>
      </c>
      <c r="Q25" s="53"/>
      <c r="R25" s="53"/>
      <c r="S25" s="53">
        <f>331428.68</f>
        <v>331428.68</v>
      </c>
      <c r="T25" s="53"/>
      <c r="U25" s="53"/>
      <c r="V25" s="53"/>
      <c r="W25" s="55">
        <f>8607571.32</f>
        <v>8607571.32</v>
      </c>
      <c r="X25" s="55"/>
    </row>
    <row r="26" spans="1:24" s="1" customFormat="1" ht="24" customHeight="1">
      <c r="A26" s="26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36</v>
      </c>
      <c r="M26" s="28"/>
      <c r="N26" s="28" t="s">
        <v>66</v>
      </c>
      <c r="O26" s="28"/>
      <c r="P26" s="53">
        <f>1896000</f>
        <v>1896000</v>
      </c>
      <c r="Q26" s="53"/>
      <c r="R26" s="53"/>
      <c r="S26" s="53">
        <f>329190.33</f>
        <v>329190.33</v>
      </c>
      <c r="T26" s="53"/>
      <c r="U26" s="53"/>
      <c r="V26" s="53"/>
      <c r="W26" s="55">
        <f>1566809.67</f>
        <v>1566809.67</v>
      </c>
      <c r="X26" s="55"/>
    </row>
    <row r="27" spans="1:24" s="1" customFormat="1" ht="24" customHeight="1">
      <c r="A27" s="26" t="s">
        <v>67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36</v>
      </c>
      <c r="M27" s="28"/>
      <c r="N27" s="28" t="s">
        <v>68</v>
      </c>
      <c r="O27" s="28"/>
      <c r="P27" s="53">
        <f>7272000</f>
        <v>7272000</v>
      </c>
      <c r="Q27" s="53"/>
      <c r="R27" s="53"/>
      <c r="S27" s="53">
        <f>294377.89</f>
        <v>294377.89</v>
      </c>
      <c r="T27" s="53"/>
      <c r="U27" s="53"/>
      <c r="V27" s="53"/>
      <c r="W27" s="55">
        <f>6977622.11</f>
        <v>6977622.11</v>
      </c>
      <c r="X27" s="55"/>
    </row>
    <row r="28" spans="1:24" s="1" customFormat="1" ht="45" customHeight="1">
      <c r="A28" s="26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36</v>
      </c>
      <c r="M28" s="28"/>
      <c r="N28" s="28" t="s">
        <v>70</v>
      </c>
      <c r="O28" s="28"/>
      <c r="P28" s="30" t="s">
        <v>52</v>
      </c>
      <c r="Q28" s="30"/>
      <c r="R28" s="30"/>
      <c r="S28" s="53">
        <f>8696.09</f>
        <v>8696.09</v>
      </c>
      <c r="T28" s="53"/>
      <c r="U28" s="53"/>
      <c r="V28" s="53"/>
      <c r="W28" s="54" t="s">
        <v>52</v>
      </c>
      <c r="X28" s="54"/>
    </row>
    <row r="29" spans="1:24" s="1" customFormat="1" ht="24" customHeight="1">
      <c r="A29" s="26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36</v>
      </c>
      <c r="M29" s="28"/>
      <c r="N29" s="28" t="s">
        <v>72</v>
      </c>
      <c r="O29" s="28"/>
      <c r="P29" s="53">
        <f>563400</f>
        <v>563400</v>
      </c>
      <c r="Q29" s="53"/>
      <c r="R29" s="53"/>
      <c r="S29" s="53">
        <f>151269.45</f>
        <v>151269.45</v>
      </c>
      <c r="T29" s="53"/>
      <c r="U29" s="53"/>
      <c r="V29" s="53"/>
      <c r="W29" s="55">
        <f>412130.55</f>
        <v>412130.55</v>
      </c>
      <c r="X29" s="55"/>
    </row>
    <row r="30" spans="1:24" s="1" customFormat="1" ht="54.75" customHeight="1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36</v>
      </c>
      <c r="M30" s="28"/>
      <c r="N30" s="28" t="s">
        <v>74</v>
      </c>
      <c r="O30" s="28"/>
      <c r="P30" s="30" t="s">
        <v>52</v>
      </c>
      <c r="Q30" s="30"/>
      <c r="R30" s="30"/>
      <c r="S30" s="53">
        <f>12150</f>
        <v>12150</v>
      </c>
      <c r="T30" s="53"/>
      <c r="U30" s="53"/>
      <c r="V30" s="53"/>
      <c r="W30" s="54" t="s">
        <v>52</v>
      </c>
      <c r="X30" s="54"/>
    </row>
    <row r="31" spans="1:24" s="1" customFormat="1" ht="13.5" customHeight="1">
      <c r="A31" s="26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36</v>
      </c>
      <c r="M31" s="28"/>
      <c r="N31" s="28" t="s">
        <v>76</v>
      </c>
      <c r="O31" s="28"/>
      <c r="P31" s="30" t="s">
        <v>52</v>
      </c>
      <c r="Q31" s="30"/>
      <c r="R31" s="30"/>
      <c r="S31" s="53">
        <f>166755</f>
        <v>166755</v>
      </c>
      <c r="T31" s="53"/>
      <c r="U31" s="53"/>
      <c r="V31" s="53"/>
      <c r="W31" s="54" t="s">
        <v>52</v>
      </c>
      <c r="X31" s="54"/>
    </row>
    <row r="32" spans="1:24" s="1" customFormat="1" ht="24" customHeight="1">
      <c r="A32" s="26" t="s">
        <v>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36</v>
      </c>
      <c r="M32" s="28"/>
      <c r="N32" s="28" t="s">
        <v>78</v>
      </c>
      <c r="O32" s="28"/>
      <c r="P32" s="53">
        <f>6466600</f>
        <v>6466600</v>
      </c>
      <c r="Q32" s="53"/>
      <c r="R32" s="53"/>
      <c r="S32" s="53">
        <f>1616600</f>
        <v>1616600</v>
      </c>
      <c r="T32" s="53"/>
      <c r="U32" s="53"/>
      <c r="V32" s="53"/>
      <c r="W32" s="55">
        <f>4850000</f>
        <v>4850000</v>
      </c>
      <c r="X32" s="55"/>
    </row>
    <row r="33" spans="1:24" s="1" customFormat="1" ht="24" customHeight="1">
      <c r="A33" s="26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36</v>
      </c>
      <c r="M33" s="28"/>
      <c r="N33" s="28" t="s">
        <v>80</v>
      </c>
      <c r="O33" s="28"/>
      <c r="P33" s="53">
        <f>7600</f>
        <v>7600</v>
      </c>
      <c r="Q33" s="53"/>
      <c r="R33" s="53"/>
      <c r="S33" s="30" t="s">
        <v>52</v>
      </c>
      <c r="T33" s="30"/>
      <c r="U33" s="30"/>
      <c r="V33" s="30"/>
      <c r="W33" s="55">
        <f>7600</f>
        <v>7600</v>
      </c>
      <c r="X33" s="55"/>
    </row>
    <row r="34" spans="1:24" s="1" customFormat="1" ht="33.75" customHeight="1">
      <c r="A34" s="26" t="s">
        <v>81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36</v>
      </c>
      <c r="M34" s="28"/>
      <c r="N34" s="28" t="s">
        <v>82</v>
      </c>
      <c r="O34" s="28"/>
      <c r="P34" s="53">
        <f>709300</f>
        <v>709300</v>
      </c>
      <c r="Q34" s="53"/>
      <c r="R34" s="53"/>
      <c r="S34" s="53">
        <f>94099.11</f>
        <v>94099.11</v>
      </c>
      <c r="T34" s="53"/>
      <c r="U34" s="53"/>
      <c r="V34" s="53"/>
      <c r="W34" s="55">
        <f>615200.89</f>
        <v>615200.89</v>
      </c>
      <c r="X34" s="55"/>
    </row>
    <row r="35" spans="1:24" s="1" customFormat="1" ht="54.75" customHeight="1">
      <c r="A35" s="26" t="s">
        <v>83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 t="s">
        <v>36</v>
      </c>
      <c r="M35" s="28"/>
      <c r="N35" s="28" t="s">
        <v>84</v>
      </c>
      <c r="O35" s="28"/>
      <c r="P35" s="30" t="s">
        <v>52</v>
      </c>
      <c r="Q35" s="30"/>
      <c r="R35" s="30"/>
      <c r="S35" s="53">
        <f>0</f>
        <v>0</v>
      </c>
      <c r="T35" s="53"/>
      <c r="U35" s="53"/>
      <c r="V35" s="53"/>
      <c r="W35" s="54" t="s">
        <v>52</v>
      </c>
      <c r="X35" s="54"/>
    </row>
    <row r="36" spans="1:24" s="1" customFormat="1" ht="13.5" customHeight="1">
      <c r="A36" s="52" t="s">
        <v>17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1" customFormat="1" ht="13.5" customHeight="1">
      <c r="A37" s="42" t="s">
        <v>85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s="1" customFormat="1" ht="34.5" customHeight="1">
      <c r="A38" s="43" t="s">
        <v>23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 t="s">
        <v>24</v>
      </c>
      <c r="M38" s="43"/>
      <c r="N38" s="43" t="s">
        <v>86</v>
      </c>
      <c r="O38" s="43"/>
      <c r="P38" s="44" t="s">
        <v>26</v>
      </c>
      <c r="Q38" s="44"/>
      <c r="R38" s="44"/>
      <c r="S38" s="44" t="s">
        <v>27</v>
      </c>
      <c r="T38" s="44"/>
      <c r="U38" s="44"/>
      <c r="V38" s="44"/>
      <c r="W38" s="45" t="s">
        <v>28</v>
      </c>
      <c r="X38" s="45"/>
    </row>
    <row r="39" spans="1:24" s="1" customFormat="1" ht="13.5" customHeight="1">
      <c r="A39" s="39" t="s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 t="s">
        <v>30</v>
      </c>
      <c r="M39" s="39"/>
      <c r="N39" s="39" t="s">
        <v>31</v>
      </c>
      <c r="O39" s="39"/>
      <c r="P39" s="40" t="s">
        <v>32</v>
      </c>
      <c r="Q39" s="40"/>
      <c r="R39" s="40"/>
      <c r="S39" s="40" t="s">
        <v>33</v>
      </c>
      <c r="T39" s="40"/>
      <c r="U39" s="40"/>
      <c r="V39" s="40"/>
      <c r="W39" s="41" t="s">
        <v>34</v>
      </c>
      <c r="X39" s="41"/>
    </row>
    <row r="40" spans="1:24" s="1" customFormat="1" ht="13.5" customHeight="1">
      <c r="A40" s="34" t="s">
        <v>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 t="s">
        <v>88</v>
      </c>
      <c r="M40" s="35"/>
      <c r="N40" s="35" t="s">
        <v>37</v>
      </c>
      <c r="O40" s="35"/>
      <c r="P40" s="37">
        <f>72283747.54</f>
        <v>72283747.54</v>
      </c>
      <c r="Q40" s="37"/>
      <c r="R40" s="37"/>
      <c r="S40" s="37">
        <f>20037784.12</f>
        <v>20037784.12</v>
      </c>
      <c r="T40" s="37"/>
      <c r="U40" s="37"/>
      <c r="V40" s="37"/>
      <c r="W40" s="51">
        <f>52245963.42</f>
        <v>52245963.42</v>
      </c>
      <c r="X40" s="51"/>
    </row>
    <row r="41" spans="1:24" s="1" customFormat="1" ht="13.5" customHeight="1">
      <c r="A41" s="14" t="s">
        <v>89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88</v>
      </c>
      <c r="M41" s="15"/>
      <c r="N41" s="15" t="s">
        <v>90</v>
      </c>
      <c r="O41" s="15"/>
      <c r="P41" s="17">
        <f>1438200</f>
        <v>1438200</v>
      </c>
      <c r="Q41" s="17"/>
      <c r="R41" s="17"/>
      <c r="S41" s="17">
        <f>349537</f>
        <v>349537</v>
      </c>
      <c r="T41" s="17"/>
      <c r="U41" s="17"/>
      <c r="V41" s="17"/>
      <c r="W41" s="50">
        <f>1088663</f>
        <v>1088663</v>
      </c>
      <c r="X41" s="50"/>
    </row>
    <row r="42" spans="1:24" s="1" customFormat="1" ht="33.75" customHeight="1">
      <c r="A42" s="14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88</v>
      </c>
      <c r="M42" s="15"/>
      <c r="N42" s="15" t="s">
        <v>92</v>
      </c>
      <c r="O42" s="15"/>
      <c r="P42" s="17">
        <f>434300</f>
        <v>434300</v>
      </c>
      <c r="Q42" s="17"/>
      <c r="R42" s="17"/>
      <c r="S42" s="17">
        <f>68856</f>
        <v>68856</v>
      </c>
      <c r="T42" s="17"/>
      <c r="U42" s="17"/>
      <c r="V42" s="17"/>
      <c r="W42" s="50">
        <f>365444</f>
        <v>365444</v>
      </c>
      <c r="X42" s="50"/>
    </row>
    <row r="43" spans="1:24" s="1" customFormat="1" ht="13.5" customHeight="1">
      <c r="A43" s="14" t="s">
        <v>89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88</v>
      </c>
      <c r="M43" s="15"/>
      <c r="N43" s="15" t="s">
        <v>93</v>
      </c>
      <c r="O43" s="15"/>
      <c r="P43" s="17">
        <f>6028600</f>
        <v>6028600</v>
      </c>
      <c r="Q43" s="17"/>
      <c r="R43" s="17"/>
      <c r="S43" s="17">
        <f>1373525</f>
        <v>1373525</v>
      </c>
      <c r="T43" s="17"/>
      <c r="U43" s="17"/>
      <c r="V43" s="17"/>
      <c r="W43" s="50">
        <f>4655075</f>
        <v>4655075</v>
      </c>
      <c r="X43" s="50"/>
    </row>
    <row r="44" spans="1:24" s="1" customFormat="1" ht="33.75" customHeight="1">
      <c r="A44" s="14" t="s">
        <v>91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88</v>
      </c>
      <c r="M44" s="15"/>
      <c r="N44" s="15" t="s">
        <v>94</v>
      </c>
      <c r="O44" s="15"/>
      <c r="P44" s="17">
        <f>1820600</f>
        <v>1820600</v>
      </c>
      <c r="Q44" s="17"/>
      <c r="R44" s="17"/>
      <c r="S44" s="17">
        <f>359531.91</f>
        <v>359531.91</v>
      </c>
      <c r="T44" s="17"/>
      <c r="U44" s="17"/>
      <c r="V44" s="17"/>
      <c r="W44" s="50">
        <f>1461068.09</f>
        <v>1461068.09</v>
      </c>
      <c r="X44" s="50"/>
    </row>
    <row r="45" spans="1:24" s="1" customFormat="1" ht="13.5" customHeight="1">
      <c r="A45" s="14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88</v>
      </c>
      <c r="M45" s="15"/>
      <c r="N45" s="15" t="s">
        <v>96</v>
      </c>
      <c r="O45" s="15"/>
      <c r="P45" s="17">
        <f>146300</f>
        <v>146300</v>
      </c>
      <c r="Q45" s="17"/>
      <c r="R45" s="17"/>
      <c r="S45" s="17">
        <f>104088.32</f>
        <v>104088.32</v>
      </c>
      <c r="T45" s="17"/>
      <c r="U45" s="17"/>
      <c r="V45" s="17"/>
      <c r="W45" s="50">
        <f>42211.68</f>
        <v>42211.68</v>
      </c>
      <c r="X45" s="50"/>
    </row>
    <row r="46" spans="1:24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88</v>
      </c>
      <c r="M46" s="15"/>
      <c r="N46" s="15" t="s">
        <v>98</v>
      </c>
      <c r="O46" s="15"/>
      <c r="P46" s="17">
        <f>5000</f>
        <v>5000</v>
      </c>
      <c r="Q46" s="17"/>
      <c r="R46" s="17"/>
      <c r="S46" s="17">
        <f>4063</f>
        <v>4063</v>
      </c>
      <c r="T46" s="17"/>
      <c r="U46" s="17"/>
      <c r="V46" s="17"/>
      <c r="W46" s="50">
        <f>937</f>
        <v>937</v>
      </c>
      <c r="X46" s="50"/>
    </row>
    <row r="47" spans="1:24" s="1" customFormat="1" ht="13.5" customHeight="1">
      <c r="A47" s="14" t="s">
        <v>99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88</v>
      </c>
      <c r="M47" s="15"/>
      <c r="N47" s="15" t="s">
        <v>100</v>
      </c>
      <c r="O47" s="15"/>
      <c r="P47" s="17">
        <f>20000</f>
        <v>20000</v>
      </c>
      <c r="Q47" s="17"/>
      <c r="R47" s="17"/>
      <c r="S47" s="17">
        <f>250</f>
        <v>250</v>
      </c>
      <c r="T47" s="17"/>
      <c r="U47" s="17"/>
      <c r="V47" s="17"/>
      <c r="W47" s="50">
        <f>19750</f>
        <v>19750</v>
      </c>
      <c r="X47" s="50"/>
    </row>
    <row r="48" spans="1:24" s="1" customFormat="1" ht="13.5" customHeight="1">
      <c r="A48" s="14" t="s">
        <v>95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88</v>
      </c>
      <c r="M48" s="15"/>
      <c r="N48" s="15" t="s">
        <v>101</v>
      </c>
      <c r="O48" s="15"/>
      <c r="P48" s="17">
        <f>7600</f>
        <v>7600</v>
      </c>
      <c r="Q48" s="17"/>
      <c r="R48" s="17"/>
      <c r="S48" s="21" t="s">
        <v>52</v>
      </c>
      <c r="T48" s="21"/>
      <c r="U48" s="21"/>
      <c r="V48" s="21"/>
      <c r="W48" s="50">
        <f>7600</f>
        <v>7600</v>
      </c>
      <c r="X48" s="50"/>
    </row>
    <row r="49" spans="1:24" s="1" customFormat="1" ht="13.5" customHeight="1">
      <c r="A49" s="14" t="s">
        <v>102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88</v>
      </c>
      <c r="M49" s="15"/>
      <c r="N49" s="15" t="s">
        <v>103</v>
      </c>
      <c r="O49" s="15"/>
      <c r="P49" s="17">
        <f>390700</f>
        <v>390700</v>
      </c>
      <c r="Q49" s="17"/>
      <c r="R49" s="17"/>
      <c r="S49" s="21" t="s">
        <v>52</v>
      </c>
      <c r="T49" s="21"/>
      <c r="U49" s="21"/>
      <c r="V49" s="21"/>
      <c r="W49" s="50">
        <f>390700</f>
        <v>390700</v>
      </c>
      <c r="X49" s="50"/>
    </row>
    <row r="50" spans="1:24" s="1" customFormat="1" ht="13.5" customHeight="1">
      <c r="A50" s="14" t="s">
        <v>104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88</v>
      </c>
      <c r="M50" s="15"/>
      <c r="N50" s="15" t="s">
        <v>105</v>
      </c>
      <c r="O50" s="15"/>
      <c r="P50" s="17">
        <f>1045000</f>
        <v>1045000</v>
      </c>
      <c r="Q50" s="17"/>
      <c r="R50" s="17"/>
      <c r="S50" s="21" t="s">
        <v>52</v>
      </c>
      <c r="T50" s="21"/>
      <c r="U50" s="21"/>
      <c r="V50" s="21"/>
      <c r="W50" s="50">
        <f>1045000</f>
        <v>1045000</v>
      </c>
      <c r="X50" s="50"/>
    </row>
    <row r="51" spans="1:24" s="1" customFormat="1" ht="13.5" customHeight="1">
      <c r="A51" s="14" t="s">
        <v>106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88</v>
      </c>
      <c r="M51" s="15"/>
      <c r="N51" s="15" t="s">
        <v>107</v>
      </c>
      <c r="O51" s="15"/>
      <c r="P51" s="17">
        <f>40000</f>
        <v>40000</v>
      </c>
      <c r="Q51" s="17"/>
      <c r="R51" s="17"/>
      <c r="S51" s="21" t="s">
        <v>52</v>
      </c>
      <c r="T51" s="21"/>
      <c r="U51" s="21"/>
      <c r="V51" s="21"/>
      <c r="W51" s="50">
        <f>40000</f>
        <v>40000</v>
      </c>
      <c r="X51" s="50"/>
    </row>
    <row r="52" spans="1:24" s="1" customFormat="1" ht="13.5" customHeight="1">
      <c r="A52" s="14" t="s">
        <v>95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88</v>
      </c>
      <c r="M52" s="15"/>
      <c r="N52" s="15" t="s">
        <v>108</v>
      </c>
      <c r="O52" s="15"/>
      <c r="P52" s="17">
        <f>175800</f>
        <v>175800</v>
      </c>
      <c r="Q52" s="17"/>
      <c r="R52" s="17"/>
      <c r="S52" s="21" t="s">
        <v>52</v>
      </c>
      <c r="T52" s="21"/>
      <c r="U52" s="21"/>
      <c r="V52" s="21"/>
      <c r="W52" s="50">
        <f>175800</f>
        <v>175800</v>
      </c>
      <c r="X52" s="50"/>
    </row>
    <row r="53" spans="1:24" s="1" customFormat="1" ht="13.5" customHeight="1">
      <c r="A53" s="14" t="s">
        <v>97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88</v>
      </c>
      <c r="M53" s="15"/>
      <c r="N53" s="15" t="s">
        <v>109</v>
      </c>
      <c r="O53" s="15"/>
      <c r="P53" s="17">
        <f>27000</f>
        <v>27000</v>
      </c>
      <c r="Q53" s="17"/>
      <c r="R53" s="17"/>
      <c r="S53" s="21" t="s">
        <v>52</v>
      </c>
      <c r="T53" s="21"/>
      <c r="U53" s="21"/>
      <c r="V53" s="21"/>
      <c r="W53" s="50">
        <f>27000</f>
        <v>27000</v>
      </c>
      <c r="X53" s="50"/>
    </row>
    <row r="54" spans="1:24" s="1" customFormat="1" ht="13.5" customHeight="1">
      <c r="A54" s="14" t="s">
        <v>99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88</v>
      </c>
      <c r="M54" s="15"/>
      <c r="N54" s="15" t="s">
        <v>110</v>
      </c>
      <c r="O54" s="15"/>
      <c r="P54" s="17">
        <f>3000</f>
        <v>3000</v>
      </c>
      <c r="Q54" s="17"/>
      <c r="R54" s="17"/>
      <c r="S54" s="21" t="s">
        <v>52</v>
      </c>
      <c r="T54" s="21"/>
      <c r="U54" s="21"/>
      <c r="V54" s="21"/>
      <c r="W54" s="50">
        <f>3000</f>
        <v>3000</v>
      </c>
      <c r="X54" s="50"/>
    </row>
    <row r="55" spans="1:24" s="1" customFormat="1" ht="13.5" customHeight="1">
      <c r="A55" s="14" t="s">
        <v>111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88</v>
      </c>
      <c r="M55" s="15"/>
      <c r="N55" s="15" t="s">
        <v>112</v>
      </c>
      <c r="O55" s="15"/>
      <c r="P55" s="17">
        <f>7377300</f>
        <v>7377300</v>
      </c>
      <c r="Q55" s="17"/>
      <c r="R55" s="17"/>
      <c r="S55" s="17">
        <f>1303205</f>
        <v>1303205</v>
      </c>
      <c r="T55" s="17"/>
      <c r="U55" s="17"/>
      <c r="V55" s="17"/>
      <c r="W55" s="50">
        <f>6074095</f>
        <v>6074095</v>
      </c>
      <c r="X55" s="50"/>
    </row>
    <row r="56" spans="1:24" s="1" customFormat="1" ht="24" customHeight="1">
      <c r="A56" s="14" t="s">
        <v>113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88</v>
      </c>
      <c r="M56" s="15"/>
      <c r="N56" s="15" t="s">
        <v>114</v>
      </c>
      <c r="O56" s="15"/>
      <c r="P56" s="17">
        <f>2227900</f>
        <v>2227900</v>
      </c>
      <c r="Q56" s="17"/>
      <c r="R56" s="17"/>
      <c r="S56" s="17">
        <f>347346.5</f>
        <v>347346.5</v>
      </c>
      <c r="T56" s="17"/>
      <c r="U56" s="17"/>
      <c r="V56" s="17"/>
      <c r="W56" s="50">
        <f>1880553.5</f>
        <v>1880553.5</v>
      </c>
      <c r="X56" s="50"/>
    </row>
    <row r="57" spans="1:24" s="1" customFormat="1" ht="13.5" customHeight="1">
      <c r="A57" s="14" t="s">
        <v>95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88</v>
      </c>
      <c r="M57" s="15"/>
      <c r="N57" s="15" t="s">
        <v>115</v>
      </c>
      <c r="O57" s="15"/>
      <c r="P57" s="17">
        <f>2352000</f>
        <v>2352000</v>
      </c>
      <c r="Q57" s="17"/>
      <c r="R57" s="17"/>
      <c r="S57" s="17">
        <f>1512501.89</f>
        <v>1512501.89</v>
      </c>
      <c r="T57" s="17"/>
      <c r="U57" s="17"/>
      <c r="V57" s="17"/>
      <c r="W57" s="50">
        <f>839498.11</f>
        <v>839498.11</v>
      </c>
      <c r="X57" s="50"/>
    </row>
    <row r="58" spans="1:24" s="1" customFormat="1" ht="13.5" customHeight="1">
      <c r="A58" s="14" t="s">
        <v>116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88</v>
      </c>
      <c r="M58" s="15"/>
      <c r="N58" s="15" t="s">
        <v>117</v>
      </c>
      <c r="O58" s="15"/>
      <c r="P58" s="17">
        <f>1250000</f>
        <v>1250000</v>
      </c>
      <c r="Q58" s="17"/>
      <c r="R58" s="17"/>
      <c r="S58" s="17">
        <f>380151.35</f>
        <v>380151.35</v>
      </c>
      <c r="T58" s="17"/>
      <c r="U58" s="17"/>
      <c r="V58" s="17"/>
      <c r="W58" s="50">
        <f>869848.65</f>
        <v>869848.65</v>
      </c>
      <c r="X58" s="50"/>
    </row>
    <row r="59" spans="1:24" s="1" customFormat="1" ht="13.5" customHeight="1">
      <c r="A59" s="14" t="s">
        <v>97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88</v>
      </c>
      <c r="M59" s="15"/>
      <c r="N59" s="15" t="s">
        <v>118</v>
      </c>
      <c r="O59" s="15"/>
      <c r="P59" s="17">
        <f>8500</f>
        <v>8500</v>
      </c>
      <c r="Q59" s="17"/>
      <c r="R59" s="17"/>
      <c r="S59" s="17">
        <f>4924</f>
        <v>4924</v>
      </c>
      <c r="T59" s="17"/>
      <c r="U59" s="17"/>
      <c r="V59" s="17"/>
      <c r="W59" s="50">
        <f>3576</f>
        <v>3576</v>
      </c>
      <c r="X59" s="50"/>
    </row>
    <row r="60" spans="1:24" s="1" customFormat="1" ht="13.5" customHeight="1">
      <c r="A60" s="14" t="s">
        <v>99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88</v>
      </c>
      <c r="M60" s="15"/>
      <c r="N60" s="15" t="s">
        <v>119</v>
      </c>
      <c r="O60" s="15"/>
      <c r="P60" s="17">
        <f>12500</f>
        <v>12500</v>
      </c>
      <c r="Q60" s="17"/>
      <c r="R60" s="17"/>
      <c r="S60" s="21" t="s">
        <v>52</v>
      </c>
      <c r="T60" s="21"/>
      <c r="U60" s="21"/>
      <c r="V60" s="21"/>
      <c r="W60" s="50">
        <f>12500</f>
        <v>12500</v>
      </c>
      <c r="X60" s="50"/>
    </row>
    <row r="61" spans="1:24" s="1" customFormat="1" ht="13.5" customHeight="1">
      <c r="A61" s="14" t="s">
        <v>89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88</v>
      </c>
      <c r="M61" s="15"/>
      <c r="N61" s="15" t="s">
        <v>120</v>
      </c>
      <c r="O61" s="15"/>
      <c r="P61" s="17">
        <f>544777.26</f>
        <v>544777.26</v>
      </c>
      <c r="Q61" s="17"/>
      <c r="R61" s="17"/>
      <c r="S61" s="17">
        <f>72806</f>
        <v>72806</v>
      </c>
      <c r="T61" s="17"/>
      <c r="U61" s="17"/>
      <c r="V61" s="17"/>
      <c r="W61" s="50">
        <f>471971.26</f>
        <v>471971.26</v>
      </c>
      <c r="X61" s="50"/>
    </row>
    <row r="62" spans="1:24" s="1" customFormat="1" ht="33.75" customHeight="1">
      <c r="A62" s="14" t="s">
        <v>91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88</v>
      </c>
      <c r="M62" s="15"/>
      <c r="N62" s="15" t="s">
        <v>121</v>
      </c>
      <c r="O62" s="15"/>
      <c r="P62" s="17">
        <f>164522.74</f>
        <v>164522.74</v>
      </c>
      <c r="Q62" s="17"/>
      <c r="R62" s="17"/>
      <c r="S62" s="17">
        <f>21293.11</f>
        <v>21293.11</v>
      </c>
      <c r="T62" s="17"/>
      <c r="U62" s="17"/>
      <c r="V62" s="17"/>
      <c r="W62" s="50">
        <f>143229.63</f>
        <v>143229.63</v>
      </c>
      <c r="X62" s="50"/>
    </row>
    <row r="63" spans="1:24" s="1" customFormat="1" ht="13.5" customHeight="1">
      <c r="A63" s="14" t="s">
        <v>95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88</v>
      </c>
      <c r="M63" s="15"/>
      <c r="N63" s="15" t="s">
        <v>122</v>
      </c>
      <c r="O63" s="15"/>
      <c r="P63" s="17">
        <f>30000</f>
        <v>30000</v>
      </c>
      <c r="Q63" s="17"/>
      <c r="R63" s="17"/>
      <c r="S63" s="21" t="s">
        <v>52</v>
      </c>
      <c r="T63" s="21"/>
      <c r="U63" s="21"/>
      <c r="V63" s="21"/>
      <c r="W63" s="50">
        <f>30000</f>
        <v>30000</v>
      </c>
      <c r="X63" s="50"/>
    </row>
    <row r="64" spans="1:24" s="1" customFormat="1" ht="13.5" customHeight="1">
      <c r="A64" s="14" t="s">
        <v>95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88</v>
      </c>
      <c r="M64" s="15"/>
      <c r="N64" s="15" t="s">
        <v>123</v>
      </c>
      <c r="O64" s="15"/>
      <c r="P64" s="17">
        <f>2000</f>
        <v>2000</v>
      </c>
      <c r="Q64" s="17"/>
      <c r="R64" s="17"/>
      <c r="S64" s="21" t="s">
        <v>52</v>
      </c>
      <c r="T64" s="21"/>
      <c r="U64" s="21"/>
      <c r="V64" s="21"/>
      <c r="W64" s="50">
        <f>2000</f>
        <v>2000</v>
      </c>
      <c r="X64" s="50"/>
    </row>
    <row r="65" spans="1:24" s="1" customFormat="1" ht="13.5" customHeight="1">
      <c r="A65" s="14" t="s">
        <v>95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88</v>
      </c>
      <c r="M65" s="15"/>
      <c r="N65" s="15" t="s">
        <v>124</v>
      </c>
      <c r="O65" s="15"/>
      <c r="P65" s="17">
        <f>50000</f>
        <v>50000</v>
      </c>
      <c r="Q65" s="17"/>
      <c r="R65" s="17"/>
      <c r="S65" s="21" t="s">
        <v>52</v>
      </c>
      <c r="T65" s="21"/>
      <c r="U65" s="21"/>
      <c r="V65" s="21"/>
      <c r="W65" s="50">
        <f>50000</f>
        <v>50000</v>
      </c>
      <c r="X65" s="50"/>
    </row>
    <row r="66" spans="1:24" s="1" customFormat="1" ht="13.5" customHeight="1">
      <c r="A66" s="14" t="s">
        <v>106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88</v>
      </c>
      <c r="M66" s="15"/>
      <c r="N66" s="15" t="s">
        <v>125</v>
      </c>
      <c r="O66" s="15"/>
      <c r="P66" s="17">
        <f>20000</f>
        <v>20000</v>
      </c>
      <c r="Q66" s="17"/>
      <c r="R66" s="17"/>
      <c r="S66" s="21" t="s">
        <v>52</v>
      </c>
      <c r="T66" s="21"/>
      <c r="U66" s="21"/>
      <c r="V66" s="21"/>
      <c r="W66" s="50">
        <f>20000</f>
        <v>20000</v>
      </c>
      <c r="X66" s="50"/>
    </row>
    <row r="67" spans="1:24" s="1" customFormat="1" ht="13.5" customHeight="1">
      <c r="A67" s="14" t="s">
        <v>126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88</v>
      </c>
      <c r="M67" s="15"/>
      <c r="N67" s="15" t="s">
        <v>127</v>
      </c>
      <c r="O67" s="15"/>
      <c r="P67" s="17">
        <f>100000</f>
        <v>100000</v>
      </c>
      <c r="Q67" s="17"/>
      <c r="R67" s="17"/>
      <c r="S67" s="21" t="s">
        <v>52</v>
      </c>
      <c r="T67" s="21"/>
      <c r="U67" s="21"/>
      <c r="V67" s="21"/>
      <c r="W67" s="50">
        <f>100000</f>
        <v>100000</v>
      </c>
      <c r="X67" s="50"/>
    </row>
    <row r="68" spans="1:24" s="1" customFormat="1" ht="13.5" customHeight="1">
      <c r="A68" s="14" t="s">
        <v>95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88</v>
      </c>
      <c r="M68" s="15"/>
      <c r="N68" s="15" t="s">
        <v>128</v>
      </c>
      <c r="O68" s="15"/>
      <c r="P68" s="17">
        <f>1000000</f>
        <v>1000000</v>
      </c>
      <c r="Q68" s="17"/>
      <c r="R68" s="17"/>
      <c r="S68" s="21" t="s">
        <v>52</v>
      </c>
      <c r="T68" s="21"/>
      <c r="U68" s="21"/>
      <c r="V68" s="21"/>
      <c r="W68" s="50">
        <f>1000000</f>
        <v>1000000</v>
      </c>
      <c r="X68" s="50"/>
    </row>
    <row r="69" spans="1:24" s="1" customFormat="1" ht="13.5" customHeight="1">
      <c r="A69" s="14" t="s">
        <v>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88</v>
      </c>
      <c r="M69" s="15"/>
      <c r="N69" s="15" t="s">
        <v>129</v>
      </c>
      <c r="O69" s="15"/>
      <c r="P69" s="17">
        <f>7526700</f>
        <v>7526700</v>
      </c>
      <c r="Q69" s="17"/>
      <c r="R69" s="17"/>
      <c r="S69" s="17">
        <f>4196885.92</f>
        <v>4196885.92</v>
      </c>
      <c r="T69" s="17"/>
      <c r="U69" s="17"/>
      <c r="V69" s="17"/>
      <c r="W69" s="50">
        <f>3329814.08</f>
        <v>3329814.08</v>
      </c>
      <c r="X69" s="50"/>
    </row>
    <row r="70" spans="1:24" s="1" customFormat="1" ht="13.5" customHeight="1">
      <c r="A70" s="14" t="s">
        <v>95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88</v>
      </c>
      <c r="M70" s="15"/>
      <c r="N70" s="15" t="s">
        <v>130</v>
      </c>
      <c r="O70" s="15"/>
      <c r="P70" s="17">
        <f>795500</f>
        <v>795500</v>
      </c>
      <c r="Q70" s="17"/>
      <c r="R70" s="17"/>
      <c r="S70" s="17">
        <f>186150</f>
        <v>186150</v>
      </c>
      <c r="T70" s="17"/>
      <c r="U70" s="17"/>
      <c r="V70" s="17"/>
      <c r="W70" s="50">
        <f>609350</f>
        <v>609350</v>
      </c>
      <c r="X70" s="50"/>
    </row>
    <row r="71" spans="1:24" s="1" customFormat="1" ht="13.5" customHeight="1">
      <c r="A71" s="14" t="s">
        <v>95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88</v>
      </c>
      <c r="M71" s="15"/>
      <c r="N71" s="15" t="s">
        <v>131</v>
      </c>
      <c r="O71" s="15"/>
      <c r="P71" s="17">
        <f>158300</f>
        <v>158300</v>
      </c>
      <c r="Q71" s="17"/>
      <c r="R71" s="17"/>
      <c r="S71" s="17">
        <f>92703</f>
        <v>92703</v>
      </c>
      <c r="T71" s="17"/>
      <c r="U71" s="17"/>
      <c r="V71" s="17"/>
      <c r="W71" s="50">
        <f>65597</f>
        <v>65597</v>
      </c>
      <c r="X71" s="50"/>
    </row>
    <row r="72" spans="1:24" s="1" customFormat="1" ht="13.5" customHeight="1">
      <c r="A72" s="14" t="s">
        <v>116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88</v>
      </c>
      <c r="M72" s="15"/>
      <c r="N72" s="15" t="s">
        <v>132</v>
      </c>
      <c r="O72" s="15"/>
      <c r="P72" s="17">
        <f>95000</f>
        <v>95000</v>
      </c>
      <c r="Q72" s="17"/>
      <c r="R72" s="17"/>
      <c r="S72" s="17">
        <f>50252.17</f>
        <v>50252.17</v>
      </c>
      <c r="T72" s="17"/>
      <c r="U72" s="17"/>
      <c r="V72" s="17"/>
      <c r="W72" s="50">
        <f>44747.83</f>
        <v>44747.83</v>
      </c>
      <c r="X72" s="50"/>
    </row>
    <row r="73" spans="1:24" s="1" customFormat="1" ht="13.5" customHeight="1">
      <c r="A73" s="14" t="s">
        <v>97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88</v>
      </c>
      <c r="M73" s="15"/>
      <c r="N73" s="15" t="s">
        <v>133</v>
      </c>
      <c r="O73" s="15"/>
      <c r="P73" s="17">
        <f>25000</f>
        <v>25000</v>
      </c>
      <c r="Q73" s="17"/>
      <c r="R73" s="17"/>
      <c r="S73" s="17">
        <f>23302.5</f>
        <v>23302.5</v>
      </c>
      <c r="T73" s="17"/>
      <c r="U73" s="17"/>
      <c r="V73" s="17"/>
      <c r="W73" s="50">
        <f>1697.5</f>
        <v>1697.5</v>
      </c>
      <c r="X73" s="50"/>
    </row>
    <row r="74" spans="1:24" s="1" customFormat="1" ht="13.5" customHeight="1">
      <c r="A74" s="14" t="s">
        <v>95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88</v>
      </c>
      <c r="M74" s="15"/>
      <c r="N74" s="15" t="s">
        <v>134</v>
      </c>
      <c r="O74" s="15"/>
      <c r="P74" s="17">
        <f>1069600</f>
        <v>1069600</v>
      </c>
      <c r="Q74" s="17"/>
      <c r="R74" s="17"/>
      <c r="S74" s="17">
        <f>7000</f>
        <v>7000</v>
      </c>
      <c r="T74" s="17"/>
      <c r="U74" s="17"/>
      <c r="V74" s="17"/>
      <c r="W74" s="50">
        <f>1062600</f>
        <v>1062600</v>
      </c>
      <c r="X74" s="50"/>
    </row>
    <row r="75" spans="1:24" s="1" customFormat="1" ht="24" customHeight="1">
      <c r="A75" s="14" t="s">
        <v>135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88</v>
      </c>
      <c r="M75" s="15"/>
      <c r="N75" s="15" t="s">
        <v>136</v>
      </c>
      <c r="O75" s="15"/>
      <c r="P75" s="17">
        <f>1200000</f>
        <v>1200000</v>
      </c>
      <c r="Q75" s="17"/>
      <c r="R75" s="17"/>
      <c r="S75" s="21" t="s">
        <v>52</v>
      </c>
      <c r="T75" s="21"/>
      <c r="U75" s="21"/>
      <c r="V75" s="21"/>
      <c r="W75" s="50">
        <f>1200000</f>
        <v>1200000</v>
      </c>
      <c r="X75" s="50"/>
    </row>
    <row r="76" spans="1:24" s="1" customFormat="1" ht="13.5" customHeight="1">
      <c r="A76" s="14" t="s">
        <v>95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88</v>
      </c>
      <c r="M76" s="15"/>
      <c r="N76" s="15" t="s">
        <v>137</v>
      </c>
      <c r="O76" s="15"/>
      <c r="P76" s="17">
        <f>300000</f>
        <v>300000</v>
      </c>
      <c r="Q76" s="17"/>
      <c r="R76" s="17"/>
      <c r="S76" s="17">
        <f>22948.8</f>
        <v>22948.8</v>
      </c>
      <c r="T76" s="17"/>
      <c r="U76" s="17"/>
      <c r="V76" s="17"/>
      <c r="W76" s="50">
        <f>277051.2</f>
        <v>277051.2</v>
      </c>
      <c r="X76" s="50"/>
    </row>
    <row r="77" spans="1:24" s="1" customFormat="1" ht="33.75" customHeight="1">
      <c r="A77" s="14" t="s">
        <v>138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88</v>
      </c>
      <c r="M77" s="15"/>
      <c r="N77" s="15" t="s">
        <v>139</v>
      </c>
      <c r="O77" s="15"/>
      <c r="P77" s="17">
        <f>600000</f>
        <v>600000</v>
      </c>
      <c r="Q77" s="17"/>
      <c r="R77" s="17"/>
      <c r="S77" s="21" t="s">
        <v>52</v>
      </c>
      <c r="T77" s="21"/>
      <c r="U77" s="21"/>
      <c r="V77" s="21"/>
      <c r="W77" s="50">
        <f>600000</f>
        <v>600000</v>
      </c>
      <c r="X77" s="50"/>
    </row>
    <row r="78" spans="1:24" s="1" customFormat="1" ht="13.5" customHeight="1">
      <c r="A78" s="14" t="s">
        <v>95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88</v>
      </c>
      <c r="M78" s="15"/>
      <c r="N78" s="15" t="s">
        <v>140</v>
      </c>
      <c r="O78" s="15"/>
      <c r="P78" s="17">
        <f>160000</f>
        <v>160000</v>
      </c>
      <c r="Q78" s="17"/>
      <c r="R78" s="17"/>
      <c r="S78" s="17">
        <f>3608.05</f>
        <v>3608.05</v>
      </c>
      <c r="T78" s="17"/>
      <c r="U78" s="17"/>
      <c r="V78" s="17"/>
      <c r="W78" s="50">
        <f>156391.95</f>
        <v>156391.95</v>
      </c>
      <c r="X78" s="50"/>
    </row>
    <row r="79" spans="1:24" s="1" customFormat="1" ht="33.75" customHeight="1">
      <c r="A79" s="14" t="s">
        <v>138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88</v>
      </c>
      <c r="M79" s="15"/>
      <c r="N79" s="15" t="s">
        <v>141</v>
      </c>
      <c r="O79" s="15"/>
      <c r="P79" s="17">
        <f>100000</f>
        <v>100000</v>
      </c>
      <c r="Q79" s="17"/>
      <c r="R79" s="17"/>
      <c r="S79" s="21" t="s">
        <v>52</v>
      </c>
      <c r="T79" s="21"/>
      <c r="U79" s="21"/>
      <c r="V79" s="21"/>
      <c r="W79" s="50">
        <f>100000</f>
        <v>100000</v>
      </c>
      <c r="X79" s="50"/>
    </row>
    <row r="80" spans="1:24" s="1" customFormat="1" ht="24" customHeight="1">
      <c r="A80" s="14" t="s">
        <v>135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88</v>
      </c>
      <c r="M80" s="15"/>
      <c r="N80" s="15" t="s">
        <v>142</v>
      </c>
      <c r="O80" s="15"/>
      <c r="P80" s="17">
        <f>2082100</f>
        <v>2082100</v>
      </c>
      <c r="Q80" s="17"/>
      <c r="R80" s="17"/>
      <c r="S80" s="17">
        <f>1341227.26</f>
        <v>1341227.26</v>
      </c>
      <c r="T80" s="17"/>
      <c r="U80" s="17"/>
      <c r="V80" s="17"/>
      <c r="W80" s="50">
        <f>740872.74</f>
        <v>740872.74</v>
      </c>
      <c r="X80" s="50"/>
    </row>
    <row r="81" spans="1:24" s="1" customFormat="1" ht="13.5" customHeight="1">
      <c r="A81" s="14" t="s">
        <v>95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88</v>
      </c>
      <c r="M81" s="15"/>
      <c r="N81" s="15" t="s">
        <v>143</v>
      </c>
      <c r="O81" s="15"/>
      <c r="P81" s="17">
        <f>800000</f>
        <v>800000</v>
      </c>
      <c r="Q81" s="17"/>
      <c r="R81" s="17"/>
      <c r="S81" s="17">
        <f>142781.1</f>
        <v>142781.1</v>
      </c>
      <c r="T81" s="17"/>
      <c r="U81" s="17"/>
      <c r="V81" s="17"/>
      <c r="W81" s="50">
        <f>657218.9</f>
        <v>657218.9</v>
      </c>
      <c r="X81" s="50"/>
    </row>
    <row r="82" spans="1:24" s="1" customFormat="1" ht="13.5" customHeight="1">
      <c r="A82" s="14" t="s">
        <v>95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88</v>
      </c>
      <c r="M82" s="15"/>
      <c r="N82" s="15" t="s">
        <v>144</v>
      </c>
      <c r="O82" s="15"/>
      <c r="P82" s="17">
        <f>150000</f>
        <v>150000</v>
      </c>
      <c r="Q82" s="17"/>
      <c r="R82" s="17"/>
      <c r="S82" s="21" t="s">
        <v>52</v>
      </c>
      <c r="T82" s="21"/>
      <c r="U82" s="21"/>
      <c r="V82" s="21"/>
      <c r="W82" s="50">
        <f>150000</f>
        <v>150000</v>
      </c>
      <c r="X82" s="50"/>
    </row>
    <row r="83" spans="1:24" s="1" customFormat="1" ht="13.5" customHeight="1">
      <c r="A83" s="14" t="s">
        <v>95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88</v>
      </c>
      <c r="M83" s="15"/>
      <c r="N83" s="15" t="s">
        <v>145</v>
      </c>
      <c r="O83" s="15"/>
      <c r="P83" s="17">
        <f>10000</f>
        <v>10000</v>
      </c>
      <c r="Q83" s="17"/>
      <c r="R83" s="17"/>
      <c r="S83" s="21" t="s">
        <v>52</v>
      </c>
      <c r="T83" s="21"/>
      <c r="U83" s="21"/>
      <c r="V83" s="21"/>
      <c r="W83" s="50">
        <f>10000</f>
        <v>10000</v>
      </c>
      <c r="X83" s="50"/>
    </row>
    <row r="84" spans="1:24" s="1" customFormat="1" ht="13.5" customHeight="1">
      <c r="A84" s="14" t="s">
        <v>95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88</v>
      </c>
      <c r="M84" s="15"/>
      <c r="N84" s="15" t="s">
        <v>146</v>
      </c>
      <c r="O84" s="15"/>
      <c r="P84" s="17">
        <f>300000</f>
        <v>300000</v>
      </c>
      <c r="Q84" s="17"/>
      <c r="R84" s="17"/>
      <c r="S84" s="21" t="s">
        <v>52</v>
      </c>
      <c r="T84" s="21"/>
      <c r="U84" s="21"/>
      <c r="V84" s="21"/>
      <c r="W84" s="50">
        <f>300000</f>
        <v>300000</v>
      </c>
      <c r="X84" s="50"/>
    </row>
    <row r="85" spans="1:24" s="1" customFormat="1" ht="13.5" customHeight="1">
      <c r="A85" s="14" t="s">
        <v>95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88</v>
      </c>
      <c r="M85" s="15"/>
      <c r="N85" s="15" t="s">
        <v>147</v>
      </c>
      <c r="O85" s="15"/>
      <c r="P85" s="17">
        <f>600000</f>
        <v>600000</v>
      </c>
      <c r="Q85" s="17"/>
      <c r="R85" s="17"/>
      <c r="S85" s="17">
        <f>146634.36</f>
        <v>146634.36</v>
      </c>
      <c r="T85" s="17"/>
      <c r="U85" s="17"/>
      <c r="V85" s="17"/>
      <c r="W85" s="50">
        <f>453365.64</f>
        <v>453365.64</v>
      </c>
      <c r="X85" s="50"/>
    </row>
    <row r="86" spans="1:24" s="1" customFormat="1" ht="13.5" customHeight="1">
      <c r="A86" s="14" t="s">
        <v>95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88</v>
      </c>
      <c r="M86" s="15"/>
      <c r="N86" s="15" t="s">
        <v>148</v>
      </c>
      <c r="O86" s="15"/>
      <c r="P86" s="17">
        <f>4471147.54</f>
        <v>4471147.54</v>
      </c>
      <c r="Q86" s="17"/>
      <c r="R86" s="17"/>
      <c r="S86" s="17">
        <f>1442073.89</f>
        <v>1442073.89</v>
      </c>
      <c r="T86" s="17"/>
      <c r="U86" s="17"/>
      <c r="V86" s="17"/>
      <c r="W86" s="50">
        <f>3029073.65</f>
        <v>3029073.65</v>
      </c>
      <c r="X86" s="50"/>
    </row>
    <row r="87" spans="1:24" s="1" customFormat="1" ht="13.5" customHeight="1">
      <c r="A87" s="14" t="s">
        <v>95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88</v>
      </c>
      <c r="M87" s="15"/>
      <c r="N87" s="15" t="s">
        <v>149</v>
      </c>
      <c r="O87" s="15"/>
      <c r="P87" s="17">
        <f>1000000</f>
        <v>1000000</v>
      </c>
      <c r="Q87" s="17"/>
      <c r="R87" s="17"/>
      <c r="S87" s="17">
        <f>101045</f>
        <v>101045</v>
      </c>
      <c r="T87" s="17"/>
      <c r="U87" s="17"/>
      <c r="V87" s="17"/>
      <c r="W87" s="50">
        <f>898955</f>
        <v>898955</v>
      </c>
      <c r="X87" s="50"/>
    </row>
    <row r="88" spans="1:24" s="1" customFormat="1" ht="13.5" customHeight="1">
      <c r="A88" s="14" t="s">
        <v>116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88</v>
      </c>
      <c r="M88" s="15"/>
      <c r="N88" s="15" t="s">
        <v>150</v>
      </c>
      <c r="O88" s="15"/>
      <c r="P88" s="17">
        <f>1800000</f>
        <v>1800000</v>
      </c>
      <c r="Q88" s="17"/>
      <c r="R88" s="17"/>
      <c r="S88" s="17">
        <f>543827.09</f>
        <v>543827.09</v>
      </c>
      <c r="T88" s="17"/>
      <c r="U88" s="17"/>
      <c r="V88" s="17"/>
      <c r="W88" s="50">
        <f>1256172.91</f>
        <v>1256172.91</v>
      </c>
      <c r="X88" s="50"/>
    </row>
    <row r="89" spans="1:24" s="1" customFormat="1" ht="13.5" customHeight="1">
      <c r="A89" s="14" t="s">
        <v>95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88</v>
      </c>
      <c r="M89" s="15"/>
      <c r="N89" s="15" t="s">
        <v>151</v>
      </c>
      <c r="O89" s="15"/>
      <c r="P89" s="17">
        <f>291000</f>
        <v>291000</v>
      </c>
      <c r="Q89" s="17"/>
      <c r="R89" s="17"/>
      <c r="S89" s="21" t="s">
        <v>52</v>
      </c>
      <c r="T89" s="21"/>
      <c r="U89" s="21"/>
      <c r="V89" s="21"/>
      <c r="W89" s="50">
        <f>291000</f>
        <v>291000</v>
      </c>
      <c r="X89" s="50"/>
    </row>
    <row r="90" spans="1:24" s="1" customFormat="1" ht="33.75" customHeight="1">
      <c r="A90" s="14" t="s">
        <v>152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88</v>
      </c>
      <c r="M90" s="15"/>
      <c r="N90" s="15" t="s">
        <v>153</v>
      </c>
      <c r="O90" s="15"/>
      <c r="P90" s="17">
        <f>16055000</f>
        <v>16055000</v>
      </c>
      <c r="Q90" s="17"/>
      <c r="R90" s="17"/>
      <c r="S90" s="17">
        <f>4020000</f>
        <v>4020000</v>
      </c>
      <c r="T90" s="17"/>
      <c r="U90" s="17"/>
      <c r="V90" s="17"/>
      <c r="W90" s="50">
        <f>12035000</f>
        <v>12035000</v>
      </c>
      <c r="X90" s="50"/>
    </row>
    <row r="91" spans="1:24" s="1" customFormat="1" ht="33.75" customHeight="1">
      <c r="A91" s="14" t="s">
        <v>152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88</v>
      </c>
      <c r="M91" s="15"/>
      <c r="N91" s="15" t="s">
        <v>154</v>
      </c>
      <c r="O91" s="15"/>
      <c r="P91" s="17">
        <f>45000</f>
        <v>45000</v>
      </c>
      <c r="Q91" s="17"/>
      <c r="R91" s="17"/>
      <c r="S91" s="21" t="s">
        <v>52</v>
      </c>
      <c r="T91" s="21"/>
      <c r="U91" s="21"/>
      <c r="V91" s="21"/>
      <c r="W91" s="50">
        <f>45000</f>
        <v>45000</v>
      </c>
      <c r="X91" s="50"/>
    </row>
    <row r="92" spans="1:24" s="1" customFormat="1" ht="13.5" customHeight="1">
      <c r="A92" s="14" t="s">
        <v>95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88</v>
      </c>
      <c r="M92" s="15"/>
      <c r="N92" s="15" t="s">
        <v>155</v>
      </c>
      <c r="O92" s="15"/>
      <c r="P92" s="17">
        <f>50000</f>
        <v>50000</v>
      </c>
      <c r="Q92" s="17"/>
      <c r="R92" s="17"/>
      <c r="S92" s="21" t="s">
        <v>52</v>
      </c>
      <c r="T92" s="21"/>
      <c r="U92" s="21"/>
      <c r="V92" s="21"/>
      <c r="W92" s="50">
        <f>50000</f>
        <v>50000</v>
      </c>
      <c r="X92" s="50"/>
    </row>
    <row r="93" spans="1:24" s="1" customFormat="1" ht="13.5" customHeight="1">
      <c r="A93" s="14" t="s">
        <v>95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88</v>
      </c>
      <c r="M93" s="15"/>
      <c r="N93" s="15" t="s">
        <v>156</v>
      </c>
      <c r="O93" s="15"/>
      <c r="P93" s="17">
        <f>1460000</f>
        <v>1460000</v>
      </c>
      <c r="Q93" s="17"/>
      <c r="R93" s="17"/>
      <c r="S93" s="17">
        <f>424000</f>
        <v>424000</v>
      </c>
      <c r="T93" s="17"/>
      <c r="U93" s="17"/>
      <c r="V93" s="17"/>
      <c r="W93" s="50">
        <f>1036000</f>
        <v>1036000</v>
      </c>
      <c r="X93" s="50"/>
    </row>
    <row r="94" spans="1:24" s="1" customFormat="1" ht="13.5" customHeight="1">
      <c r="A94" s="14" t="s">
        <v>157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88</v>
      </c>
      <c r="M94" s="15"/>
      <c r="N94" s="15" t="s">
        <v>158</v>
      </c>
      <c r="O94" s="15"/>
      <c r="P94" s="17">
        <f>736300</f>
        <v>736300</v>
      </c>
      <c r="Q94" s="17"/>
      <c r="R94" s="17"/>
      <c r="S94" s="17">
        <f>131909.36</f>
        <v>131909.36</v>
      </c>
      <c r="T94" s="17"/>
      <c r="U94" s="17"/>
      <c r="V94" s="17"/>
      <c r="W94" s="50">
        <f>604390.64</f>
        <v>604390.64</v>
      </c>
      <c r="X94" s="50"/>
    </row>
    <row r="95" spans="1:24" s="1" customFormat="1" ht="24" customHeight="1">
      <c r="A95" s="14" t="s">
        <v>159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88</v>
      </c>
      <c r="M95" s="15"/>
      <c r="N95" s="15" t="s">
        <v>160</v>
      </c>
      <c r="O95" s="15"/>
      <c r="P95" s="17">
        <f>10000</f>
        <v>10000</v>
      </c>
      <c r="Q95" s="17"/>
      <c r="R95" s="17"/>
      <c r="S95" s="17">
        <f>10000</f>
        <v>10000</v>
      </c>
      <c r="T95" s="17"/>
      <c r="U95" s="17"/>
      <c r="V95" s="17"/>
      <c r="W95" s="50">
        <f>0</f>
        <v>0</v>
      </c>
      <c r="X95" s="50"/>
    </row>
    <row r="96" spans="1:24" s="1" customFormat="1" ht="33.75" customHeight="1">
      <c r="A96" s="14" t="s">
        <v>152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88</v>
      </c>
      <c r="M96" s="15"/>
      <c r="N96" s="15" t="s">
        <v>161</v>
      </c>
      <c r="O96" s="15"/>
      <c r="P96" s="17">
        <f>2500000</f>
        <v>2500000</v>
      </c>
      <c r="Q96" s="17"/>
      <c r="R96" s="17"/>
      <c r="S96" s="17">
        <f>860000</f>
        <v>860000</v>
      </c>
      <c r="T96" s="17"/>
      <c r="U96" s="17"/>
      <c r="V96" s="17"/>
      <c r="W96" s="50">
        <f>1640000</f>
        <v>1640000</v>
      </c>
      <c r="X96" s="50"/>
    </row>
    <row r="97" spans="1:24" s="1" customFormat="1" ht="13.5" customHeight="1">
      <c r="A97" s="14" t="s">
        <v>95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88</v>
      </c>
      <c r="M97" s="15"/>
      <c r="N97" s="15" t="s">
        <v>162</v>
      </c>
      <c r="O97" s="15"/>
      <c r="P97" s="17">
        <f>650000</f>
        <v>650000</v>
      </c>
      <c r="Q97" s="17"/>
      <c r="R97" s="17"/>
      <c r="S97" s="17">
        <f>260052</f>
        <v>260052</v>
      </c>
      <c r="T97" s="17"/>
      <c r="U97" s="17"/>
      <c r="V97" s="17"/>
      <c r="W97" s="50">
        <f>389948</f>
        <v>389948</v>
      </c>
      <c r="X97" s="50"/>
    </row>
    <row r="98" spans="1:24" s="1" customFormat="1" ht="13.5" customHeight="1">
      <c r="A98" s="14" t="s">
        <v>163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88</v>
      </c>
      <c r="M98" s="15"/>
      <c r="N98" s="15" t="s">
        <v>164</v>
      </c>
      <c r="O98" s="15"/>
      <c r="P98" s="17">
        <f>521500</f>
        <v>521500</v>
      </c>
      <c r="Q98" s="17"/>
      <c r="R98" s="17"/>
      <c r="S98" s="17">
        <f>129304.54</f>
        <v>129304.54</v>
      </c>
      <c r="T98" s="17"/>
      <c r="U98" s="17"/>
      <c r="V98" s="17"/>
      <c r="W98" s="50">
        <f>392195.46</f>
        <v>392195.46</v>
      </c>
      <c r="X98" s="50"/>
    </row>
    <row r="99" spans="1:24" s="1" customFormat="1" ht="15" customHeight="1">
      <c r="A99" s="46" t="s">
        <v>165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7" t="s">
        <v>166</v>
      </c>
      <c r="M99" s="47"/>
      <c r="N99" s="47" t="s">
        <v>37</v>
      </c>
      <c r="O99" s="47"/>
      <c r="P99" s="48">
        <f>-7648947.54</f>
        <v>-7648947.54</v>
      </c>
      <c r="Q99" s="48"/>
      <c r="R99" s="48"/>
      <c r="S99" s="48">
        <f>-5044396.88</f>
        <v>-5044396.88</v>
      </c>
      <c r="T99" s="48"/>
      <c r="U99" s="48"/>
      <c r="V99" s="48"/>
      <c r="W99" s="49" t="s">
        <v>37</v>
      </c>
      <c r="X99" s="49"/>
    </row>
    <row r="100" spans="1:24" s="1" customFormat="1" ht="13.5" customHeight="1">
      <c r="A100" s="9" t="s">
        <v>17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1" customFormat="1" ht="13.5" customHeight="1">
      <c r="A101" s="42" t="s">
        <v>167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s="1" customFormat="1" ht="45.75" customHeight="1">
      <c r="A102" s="43" t="s">
        <v>23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 t="s">
        <v>24</v>
      </c>
      <c r="M102" s="43"/>
      <c r="N102" s="43" t="s">
        <v>168</v>
      </c>
      <c r="O102" s="43"/>
      <c r="P102" s="44" t="s">
        <v>26</v>
      </c>
      <c r="Q102" s="44"/>
      <c r="R102" s="44"/>
      <c r="S102" s="44" t="s">
        <v>27</v>
      </c>
      <c r="T102" s="44"/>
      <c r="U102" s="44"/>
      <c r="V102" s="44"/>
      <c r="W102" s="45" t="s">
        <v>28</v>
      </c>
      <c r="X102" s="45"/>
    </row>
    <row r="103" spans="1:24" s="1" customFormat="1" ht="12.75" customHeight="1">
      <c r="A103" s="39" t="s">
        <v>29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 t="s">
        <v>30</v>
      </c>
      <c r="M103" s="39"/>
      <c r="N103" s="39" t="s">
        <v>31</v>
      </c>
      <c r="O103" s="39"/>
      <c r="P103" s="40" t="s">
        <v>32</v>
      </c>
      <c r="Q103" s="40"/>
      <c r="R103" s="40"/>
      <c r="S103" s="40" t="s">
        <v>33</v>
      </c>
      <c r="T103" s="40"/>
      <c r="U103" s="40"/>
      <c r="V103" s="40"/>
      <c r="W103" s="41" t="s">
        <v>34</v>
      </c>
      <c r="X103" s="41"/>
    </row>
    <row r="104" spans="1:24" s="1" customFormat="1" ht="13.5" customHeight="1">
      <c r="A104" s="34" t="s">
        <v>169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5" t="s">
        <v>170</v>
      </c>
      <c r="M104" s="35"/>
      <c r="N104" s="35" t="s">
        <v>37</v>
      </c>
      <c r="O104" s="35"/>
      <c r="P104" s="36">
        <f>7648947.54</f>
        <v>7648947.54</v>
      </c>
      <c r="Q104" s="36"/>
      <c r="R104" s="36"/>
      <c r="S104" s="37">
        <f>5044396.88</f>
        <v>5044396.88</v>
      </c>
      <c r="T104" s="37"/>
      <c r="U104" s="37"/>
      <c r="V104" s="37"/>
      <c r="W104" s="38" t="s">
        <v>37</v>
      </c>
      <c r="X104" s="38"/>
    </row>
    <row r="105" spans="1:24" s="1" customFormat="1" ht="13.5" customHeight="1">
      <c r="A105" s="32" t="s">
        <v>171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23" t="s">
        <v>17</v>
      </c>
      <c r="M105" s="23"/>
      <c r="N105" s="23" t="s">
        <v>17</v>
      </c>
      <c r="O105" s="23"/>
      <c r="P105" s="24" t="s">
        <v>17</v>
      </c>
      <c r="Q105" s="24"/>
      <c r="R105" s="24"/>
      <c r="S105" s="33" t="s">
        <v>17</v>
      </c>
      <c r="T105" s="33"/>
      <c r="U105" s="33"/>
      <c r="V105" s="33"/>
      <c r="W105" s="25" t="s">
        <v>17</v>
      </c>
      <c r="X105" s="25"/>
    </row>
    <row r="106" spans="1:24" s="1" customFormat="1" ht="13.5" customHeight="1">
      <c r="A106" s="26" t="s">
        <v>172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7" t="s">
        <v>173</v>
      </c>
      <c r="M106" s="27"/>
      <c r="N106" s="28" t="s">
        <v>37</v>
      </c>
      <c r="O106" s="28"/>
      <c r="P106" s="29">
        <f>-2500000</f>
        <v>-2500000</v>
      </c>
      <c r="Q106" s="29"/>
      <c r="R106" s="29"/>
      <c r="S106" s="30" t="s">
        <v>52</v>
      </c>
      <c r="T106" s="30"/>
      <c r="U106" s="30"/>
      <c r="V106" s="30"/>
      <c r="W106" s="31">
        <f>-2500000</f>
        <v>-2500000</v>
      </c>
      <c r="X106" s="31"/>
    </row>
    <row r="107" spans="1:24" s="1" customFormat="1" ht="24" customHeight="1">
      <c r="A107" s="14" t="s">
        <v>174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173</v>
      </c>
      <c r="M107" s="15"/>
      <c r="N107" s="15" t="s">
        <v>175</v>
      </c>
      <c r="O107" s="15"/>
      <c r="P107" s="16">
        <f>-2500000</f>
        <v>-2500000</v>
      </c>
      <c r="Q107" s="16"/>
      <c r="R107" s="16"/>
      <c r="S107" s="21" t="s">
        <v>52</v>
      </c>
      <c r="T107" s="21"/>
      <c r="U107" s="21"/>
      <c r="V107" s="21"/>
      <c r="W107" s="19">
        <f>-2500000</f>
        <v>-2500000</v>
      </c>
      <c r="X107" s="19"/>
    </row>
    <row r="108" spans="1:24" s="1" customFormat="1" ht="13.5" customHeight="1">
      <c r="A108" s="14" t="s">
        <v>176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23" t="s">
        <v>177</v>
      </c>
      <c r="M108" s="23"/>
      <c r="N108" s="23" t="s">
        <v>37</v>
      </c>
      <c r="O108" s="23"/>
      <c r="P108" s="24" t="s">
        <v>52</v>
      </c>
      <c r="Q108" s="24"/>
      <c r="R108" s="24"/>
      <c r="S108" s="21" t="s">
        <v>52</v>
      </c>
      <c r="T108" s="21"/>
      <c r="U108" s="21"/>
      <c r="V108" s="21"/>
      <c r="W108" s="25" t="s">
        <v>52</v>
      </c>
      <c r="X108" s="25"/>
    </row>
    <row r="109" spans="1:24" s="1" customFormat="1" ht="13.5" customHeight="1">
      <c r="A109" s="14" t="s">
        <v>17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177</v>
      </c>
      <c r="M109" s="15"/>
      <c r="N109" s="15" t="s">
        <v>17</v>
      </c>
      <c r="O109" s="15"/>
      <c r="P109" s="20" t="s">
        <v>52</v>
      </c>
      <c r="Q109" s="20"/>
      <c r="R109" s="20"/>
      <c r="S109" s="21" t="s">
        <v>52</v>
      </c>
      <c r="T109" s="21"/>
      <c r="U109" s="21"/>
      <c r="V109" s="21"/>
      <c r="W109" s="22" t="s">
        <v>52</v>
      </c>
      <c r="X109" s="22"/>
    </row>
    <row r="110" spans="1:24" s="1" customFormat="1" ht="13.5" customHeight="1">
      <c r="A110" s="14" t="s">
        <v>178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179</v>
      </c>
      <c r="M110" s="15"/>
      <c r="N110" s="15" t="s">
        <v>180</v>
      </c>
      <c r="O110" s="15"/>
      <c r="P110" s="16">
        <f>10148947.54</f>
        <v>10148947.54</v>
      </c>
      <c r="Q110" s="16"/>
      <c r="R110" s="16"/>
      <c r="S110" s="17">
        <f>5044396.88</f>
        <v>5044396.88</v>
      </c>
      <c r="T110" s="17"/>
      <c r="U110" s="17"/>
      <c r="V110" s="17"/>
      <c r="W110" s="19">
        <f>5104550.66</f>
        <v>5104550.66</v>
      </c>
      <c r="X110" s="19"/>
    </row>
    <row r="111" spans="1:24" s="1" customFormat="1" ht="13.5" customHeight="1">
      <c r="A111" s="14" t="s">
        <v>181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182</v>
      </c>
      <c r="M111" s="15"/>
      <c r="N111" s="15" t="s">
        <v>183</v>
      </c>
      <c r="O111" s="15"/>
      <c r="P111" s="16">
        <f>-64634800</f>
        <v>-64634800</v>
      </c>
      <c r="Q111" s="16"/>
      <c r="R111" s="16"/>
      <c r="S111" s="17">
        <f>-16424196.09</f>
        <v>-16424196.09</v>
      </c>
      <c r="T111" s="17"/>
      <c r="U111" s="17"/>
      <c r="V111" s="17"/>
      <c r="W111" s="18" t="s">
        <v>37</v>
      </c>
      <c r="X111" s="18"/>
    </row>
    <row r="112" spans="1:24" s="1" customFormat="1" ht="13.5" customHeight="1">
      <c r="A112" s="14" t="s">
        <v>184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185</v>
      </c>
      <c r="M112" s="15"/>
      <c r="N112" s="15" t="s">
        <v>186</v>
      </c>
      <c r="O112" s="15"/>
      <c r="P112" s="16">
        <f>74783747.54</f>
        <v>74783747.54</v>
      </c>
      <c r="Q112" s="16"/>
      <c r="R112" s="16"/>
      <c r="S112" s="17">
        <f>21468592.97</f>
        <v>21468592.97</v>
      </c>
      <c r="T112" s="17"/>
      <c r="U112" s="17"/>
      <c r="V112" s="17"/>
      <c r="W112" s="18" t="s">
        <v>37</v>
      </c>
      <c r="X112" s="18"/>
    </row>
    <row r="113" spans="1:24" s="1" customFormat="1" ht="13.5" customHeight="1">
      <c r="A113" s="13" t="s">
        <v>17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s="1" customFormat="1" ht="24" customHeight="1">
      <c r="A114" s="9" t="s">
        <v>187</v>
      </c>
      <c r="B114" s="9"/>
      <c r="C114" s="9"/>
      <c r="D114" s="9"/>
      <c r="E114" s="9"/>
      <c r="F114" s="9"/>
      <c r="G114" s="9"/>
      <c r="H114" s="9"/>
      <c r="I114" s="12" t="s">
        <v>17</v>
      </c>
      <c r="J114" s="12"/>
      <c r="K114" s="12"/>
      <c r="L114" s="12"/>
      <c r="M114" s="12"/>
      <c r="N114" s="12" t="s">
        <v>188</v>
      </c>
      <c r="O114" s="12"/>
      <c r="P114" s="12"/>
      <c r="Q114" s="12"/>
      <c r="R114" s="9" t="s">
        <v>17</v>
      </c>
      <c r="S114" s="9"/>
      <c r="T114" s="9"/>
      <c r="U114" s="9"/>
      <c r="V114" s="9"/>
      <c r="W114" s="9"/>
      <c r="X114" s="9"/>
    </row>
    <row r="115" spans="1:24" s="1" customFormat="1" ht="13.5" customHeight="1">
      <c r="A115" s="9" t="s">
        <v>17</v>
      </c>
      <c r="B115" s="9"/>
      <c r="C115" s="9"/>
      <c r="D115" s="9"/>
      <c r="E115" s="9"/>
      <c r="F115" s="9"/>
      <c r="G115" s="9"/>
      <c r="H115" s="9"/>
      <c r="I115" s="5" t="s">
        <v>17</v>
      </c>
      <c r="J115" s="11" t="s">
        <v>189</v>
      </c>
      <c r="K115" s="11"/>
      <c r="L115" s="11"/>
      <c r="M115" s="5" t="s">
        <v>17</v>
      </c>
      <c r="N115" s="5" t="s">
        <v>17</v>
      </c>
      <c r="O115" s="11" t="s">
        <v>190</v>
      </c>
      <c r="P115" s="11"/>
      <c r="Q115" s="9" t="s">
        <v>17</v>
      </c>
      <c r="R115" s="9"/>
      <c r="S115" s="9"/>
      <c r="T115" s="9"/>
      <c r="U115" s="9"/>
      <c r="V115" s="9"/>
      <c r="W115" s="9"/>
      <c r="X115" s="9"/>
    </row>
    <row r="116" spans="1:24" s="1" customFormat="1" ht="7.5" customHeight="1">
      <c r="A116" s="9" t="s">
        <v>17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s="1" customFormat="1" ht="13.5" customHeight="1">
      <c r="A117" s="9" t="s">
        <v>191</v>
      </c>
      <c r="B117" s="9"/>
      <c r="C117" s="9"/>
      <c r="D117" s="9"/>
      <c r="E117" s="9"/>
      <c r="F117" s="9"/>
      <c r="G117" s="9"/>
      <c r="H117" s="9"/>
      <c r="I117" s="12" t="s">
        <v>17</v>
      </c>
      <c r="J117" s="12"/>
      <c r="K117" s="12"/>
      <c r="L117" s="12"/>
      <c r="M117" s="12"/>
      <c r="N117" s="12" t="s">
        <v>192</v>
      </c>
      <c r="O117" s="12"/>
      <c r="P117" s="12"/>
      <c r="Q117" s="12"/>
      <c r="R117" s="9" t="s">
        <v>17</v>
      </c>
      <c r="S117" s="9"/>
      <c r="T117" s="9"/>
      <c r="U117" s="9"/>
      <c r="V117" s="9"/>
      <c r="W117" s="9"/>
      <c r="X117" s="9"/>
    </row>
    <row r="118" spans="1:24" s="1" customFormat="1" ht="13.5" customHeight="1">
      <c r="A118" s="9" t="s">
        <v>17</v>
      </c>
      <c r="B118" s="9"/>
      <c r="C118" s="9"/>
      <c r="D118" s="9"/>
      <c r="E118" s="9"/>
      <c r="F118" s="9"/>
      <c r="G118" s="9"/>
      <c r="H118" s="9"/>
      <c r="I118" s="5" t="s">
        <v>17</v>
      </c>
      <c r="J118" s="11" t="s">
        <v>189</v>
      </c>
      <c r="K118" s="11"/>
      <c r="L118" s="11"/>
      <c r="M118" s="5" t="s">
        <v>17</v>
      </c>
      <c r="N118" s="5" t="s">
        <v>17</v>
      </c>
      <c r="O118" s="11" t="s">
        <v>190</v>
      </c>
      <c r="P118" s="11"/>
      <c r="Q118" s="9" t="s">
        <v>17</v>
      </c>
      <c r="R118" s="9"/>
      <c r="S118" s="9"/>
      <c r="T118" s="9"/>
      <c r="U118" s="9"/>
      <c r="V118" s="9"/>
      <c r="W118" s="9"/>
      <c r="X118" s="9"/>
    </row>
    <row r="119" spans="1:24" s="1" customFormat="1" ht="7.5" customHeight="1">
      <c r="A119" s="9" t="s">
        <v>17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1" customFormat="1" ht="13.5" customHeight="1">
      <c r="A120" s="9" t="s">
        <v>193</v>
      </c>
      <c r="B120" s="9"/>
      <c r="C120" s="12" t="s">
        <v>194</v>
      </c>
      <c r="D120" s="12"/>
      <c r="E120" s="12"/>
      <c r="F120" s="12"/>
      <c r="G120" s="12"/>
      <c r="H120" s="12"/>
      <c r="I120" s="12" t="s">
        <v>17</v>
      </c>
      <c r="J120" s="12"/>
      <c r="K120" s="12"/>
      <c r="L120" s="12"/>
      <c r="M120" s="12"/>
      <c r="N120" s="12" t="s">
        <v>195</v>
      </c>
      <c r="O120" s="12"/>
      <c r="P120" s="12"/>
      <c r="Q120" s="12"/>
      <c r="R120" s="9" t="s">
        <v>17</v>
      </c>
      <c r="S120" s="9"/>
      <c r="T120" s="9"/>
      <c r="U120" s="9"/>
      <c r="V120" s="9"/>
      <c r="W120" s="9"/>
      <c r="X120" s="9"/>
    </row>
    <row r="121" spans="1:24" s="1" customFormat="1" ht="13.5" customHeight="1">
      <c r="A121" s="9" t="s">
        <v>17</v>
      </c>
      <c r="B121" s="9"/>
      <c r="C121" s="5" t="s">
        <v>17</v>
      </c>
      <c r="D121" s="11" t="s">
        <v>196</v>
      </c>
      <c r="E121" s="11"/>
      <c r="F121" s="11"/>
      <c r="G121" s="11"/>
      <c r="H121" s="5" t="s">
        <v>17</v>
      </c>
      <c r="I121" s="5" t="s">
        <v>17</v>
      </c>
      <c r="J121" s="11" t="s">
        <v>189</v>
      </c>
      <c r="K121" s="11"/>
      <c r="L121" s="11"/>
      <c r="M121" s="5" t="s">
        <v>17</v>
      </c>
      <c r="N121" s="5" t="s">
        <v>17</v>
      </c>
      <c r="O121" s="11" t="s">
        <v>190</v>
      </c>
      <c r="P121" s="11"/>
      <c r="Q121" s="9" t="s">
        <v>17</v>
      </c>
      <c r="R121" s="9"/>
      <c r="S121" s="9"/>
      <c r="T121" s="9"/>
      <c r="U121" s="9"/>
      <c r="V121" s="9"/>
      <c r="W121" s="9"/>
      <c r="X121" s="9"/>
    </row>
    <row r="122" spans="1:24" s="1" customFormat="1" ht="15.75" customHeight="1">
      <c r="A122" s="9" t="s">
        <v>17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s="1" customFormat="1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9" t="s">
        <v>17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1" customFormat="1" ht="13.5" customHeight="1">
      <c r="A124" s="10" t="s">
        <v>197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</sheetData>
  <sheetProtection/>
  <mergeCells count="647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X36"/>
    <mergeCell ref="A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X100"/>
    <mergeCell ref="A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X113"/>
    <mergeCell ref="A114:H114"/>
    <mergeCell ref="I114:M114"/>
    <mergeCell ref="N114:Q114"/>
    <mergeCell ref="R114:X114"/>
    <mergeCell ref="A115:H115"/>
    <mergeCell ref="J115:L115"/>
    <mergeCell ref="O115:P115"/>
    <mergeCell ref="Q115:X115"/>
    <mergeCell ref="A116:X116"/>
    <mergeCell ref="A117:H117"/>
    <mergeCell ref="I117:M117"/>
    <mergeCell ref="N117:Q117"/>
    <mergeCell ref="R117:X117"/>
    <mergeCell ref="A118:H118"/>
    <mergeCell ref="J118:L118"/>
    <mergeCell ref="O118:P118"/>
    <mergeCell ref="Q118:X118"/>
    <mergeCell ref="A119:X119"/>
    <mergeCell ref="A120:B120"/>
    <mergeCell ref="C120:H120"/>
    <mergeCell ref="I120:M120"/>
    <mergeCell ref="N120:Q120"/>
    <mergeCell ref="R120:X120"/>
    <mergeCell ref="A123:J123"/>
    <mergeCell ref="K123:X123"/>
    <mergeCell ref="A124:X124"/>
    <mergeCell ref="A121:B121"/>
    <mergeCell ref="D121:G121"/>
    <mergeCell ref="J121:L121"/>
    <mergeCell ref="O121:P121"/>
    <mergeCell ref="Q121:X121"/>
    <mergeCell ref="A122:X12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2024-04-09T07:45:07Z</dcterms:created>
  <dcterms:modified xsi:type="dcterms:W3CDTF">2024-04-09T07:49:37Z</dcterms:modified>
  <cp:category/>
  <cp:version/>
  <cp:contentType/>
  <cp:contentStatus/>
</cp:coreProperties>
</file>