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<sst xmlns="http://schemas.openxmlformats.org/spreadsheetml/2006/main" count="477" uniqueCount="219">
  <si>
    <t>ОТЧЕТ ОБ ИСПОЛНЕНИИ БЮДЖЕТА</t>
  </si>
  <si>
    <t>КОДЫ</t>
  </si>
  <si>
    <t xml:space="preserve">Форма по ОКУД </t>
  </si>
  <si>
    <t>0503117</t>
  </si>
  <si>
    <t>на 1 января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</si>
  <si>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</si>
  <si>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</si>
  <si>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</si>
  <si>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</si>
  <si>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</si>
  <si>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</si>
  <si>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</si>
  <si>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</si>
  <si>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</si>
  <si>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</si>
  <si>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</si>
  <si>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</si>
  <si>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</si>
  <si>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</si>
  <si>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</si>
  <si>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</si>
  <si>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</si>
  <si>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</si>
  <si>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</si>
  <si>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</si>
  <si>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</si>
  <si>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</si>
  <si>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</si>
  <si>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</si>
  <si>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</si>
  <si>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</si>
  <si>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</si>
  <si>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</si>
  <si>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</si>
  <si>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</si>
  <si>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</si>
  <si>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</si>
  <si>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</si>
  <si>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</si>
  <si>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</si>
  <si>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</si>
  <si>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</si>
  <si>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</si>
  <si>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</si>
  <si>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</si>
  <si>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</si>
  <si>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</si>
  <si>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</si>
  <si>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</si>
  <si>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</si>
  <si>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</si>
  <si>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</si>
  <si>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</si>
  <si>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</si>
  <si>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</si>
  <si>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</si>
  <si>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</si>
  <si>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</si>
  <si>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</si>
  <si>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</si>
  <si>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</si>
  <si>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</si>
  <si>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</si>
  <si>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</si>
  <si>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</si>
  <si>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</si>
  <si>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</si>
  <si>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</si>
  <si>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</si>
  <si>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</si>
  <si>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</si>
  <si>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</si>
  <si>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</si>
  <si>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</si>
  <si>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</si>
  <si>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</si>
  <si>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</si>
  <si>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</si>
  <si>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992 11621050 10 0000 140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</si>
  <si>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</si>
  <si>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</si>
  <si>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</si>
  <si>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</si>
  <si>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</si>
  <si>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</si>
  <si>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</si>
  <si>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</si>
  <si>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</si>
  <si>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</si>
  <si>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</si>
  <si>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</si>
  <si>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</si>
  <si>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</si>
  <si>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</si>
  <si>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</si>
  <si>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</si>
  <si>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</si>
  <si>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</si>
  <si>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</si>
  <si>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</si>
  <si>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</si>
  <si>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</si>
  <si>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</si>
  <si>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</si>
  <si>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</si>
  <si>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</si>
  <si>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</si>
  <si>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</si>
  <si>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</si>
  <si>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</si>
  <si>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</si>
  <si>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</si>
  <si>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</si>
  <si>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</si>
  <si>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</si>
  <si>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</si>
  <si>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</si>
  <si>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</si>
  <si>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</si>
  <si>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</si>
  <si>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</si>
  <si>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</si>
  <si>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</si>
  <si>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</si>
  <si>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</si>
  <si>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</si>
  <si>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</si>
  <si>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</si>
  <si>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</si>
  <si>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</si>
  <si>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</si>
  <si>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</si>
  <si>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</si>
  <si>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</si>
  <si>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</si>
  <si>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</si>
  <si>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</si>
  <si>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</si>
  <si>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</si>
  <si>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</si>
  <si>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</si>
  <si>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</si>
  <si>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</si>
  <si>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992 0409 0410062440 244</t>
  </si>
  <si>
    <t>992 0409 0410062446 244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</si>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</sst>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42736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49437300</f>
        <v>49437300</v>
      </c>
      <c r="Q12" s="21"/>
      <c r="R12" s="21"/>
      <c r="S12" s="21">
        <f>49178401.73</f>
        <v>49178401.73</v>
      </c>
      <c r="T12" s="21"/>
      <c r="U12" s="21"/>
      <c r="V12" s="21"/>
      <c r="W12" s="22">
        <f>258898.27</f>
        <v>258898.27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1261000</f>
        <v>1261000</v>
      </c>
      <c r="Q13" s="25"/>
      <c r="R13" s="25"/>
      <c r="S13" s="25">
        <f>1727305.16</f>
        <v>1727305.16</v>
      </c>
      <c r="T13" s="25"/>
      <c r="U13" s="25"/>
      <c r="V13" s="25"/>
      <c r="W13" s="26">
        <f>-466305.16</f>
        <v>-466305.16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26366.68</f>
        <v>26366.68</v>
      </c>
      <c r="T14" s="25"/>
      <c r="U14" s="25"/>
      <c r="V14" s="25"/>
      <c r="W14" s="26">
        <f>-1366.68</f>
        <v>-1366.68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3246100</f>
        <v>3246100</v>
      </c>
      <c r="Q15" s="25"/>
      <c r="R15" s="25"/>
      <c r="S15" s="25">
        <f>3554846.58</f>
        <v>3554846.58</v>
      </c>
      <c r="T15" s="25"/>
      <c r="U15" s="25"/>
      <c r="V15" s="25"/>
      <c r="W15" s="26">
        <f>-308746.58</f>
        <v>-308746.58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-255837.15</f>
        <v>-255837.15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60000</f>
        <v>60000</v>
      </c>
      <c r="Q17" s="25"/>
      <c r="R17" s="25"/>
      <c r="S17" s="25">
        <f>60000</f>
        <v>60000</v>
      </c>
      <c r="T17" s="25"/>
      <c r="U17" s="25"/>
      <c r="V17" s="25"/>
      <c r="W17" s="26">
        <f>0</f>
        <v>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11087700</f>
        <v>11087700</v>
      </c>
      <c r="Q18" s="25"/>
      <c r="R18" s="25"/>
      <c r="S18" s="25">
        <f>11165794.6</f>
        <v>11165794.6</v>
      </c>
      <c r="T18" s="25"/>
      <c r="U18" s="25"/>
      <c r="V18" s="25"/>
      <c r="W18" s="26">
        <f>-78094.6</f>
        <v>-78094.6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156800</f>
        <v>156800</v>
      </c>
      <c r="Q19" s="25"/>
      <c r="R19" s="25"/>
      <c r="S19" s="25">
        <f>159102.35</f>
        <v>159102.35</v>
      </c>
      <c r="T19" s="25"/>
      <c r="U19" s="25"/>
      <c r="V19" s="25"/>
      <c r="W19" s="26">
        <f>-2302.35</f>
        <v>-2302.35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41000</f>
        <v>41000</v>
      </c>
      <c r="Q20" s="25"/>
      <c r="R20" s="25"/>
      <c r="S20" s="25">
        <f>41324.03</f>
        <v>41324.03</v>
      </c>
      <c r="T20" s="25"/>
      <c r="U20" s="25"/>
      <c r="V20" s="25"/>
      <c r="W20" s="26">
        <f>-324.03</f>
        <v>-324.03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99500</f>
        <v>99500</v>
      </c>
      <c r="Q21" s="25"/>
      <c r="R21" s="25"/>
      <c r="S21" s="25">
        <f>99637.13</f>
        <v>99637.13</v>
      </c>
      <c r="T21" s="25"/>
      <c r="U21" s="25"/>
      <c r="V21" s="25"/>
      <c r="W21" s="26">
        <f>-137.13</f>
        <v>-137.13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751000</f>
        <v>751000</v>
      </c>
      <c r="Q22" s="25"/>
      <c r="R22" s="25"/>
      <c r="S22" s="25">
        <f>751937.68</f>
        <v>751937.68</v>
      </c>
      <c r="T22" s="25"/>
      <c r="U22" s="25"/>
      <c r="V22" s="25"/>
      <c r="W22" s="26">
        <f>-937.68</f>
        <v>-937.68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1653000</f>
        <v>1653000</v>
      </c>
      <c r="Q23" s="25"/>
      <c r="R23" s="25"/>
      <c r="S23" s="25">
        <f>1661768.93</f>
        <v>1661768.93</v>
      </c>
      <c r="T23" s="25"/>
      <c r="U23" s="25"/>
      <c r="V23" s="25"/>
      <c r="W23" s="26">
        <f>-8768.93</f>
        <v>-8768.93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2493000</f>
        <v>2493000</v>
      </c>
      <c r="Q24" s="25"/>
      <c r="R24" s="25"/>
      <c r="S24" s="25">
        <f>2496324.44</f>
        <v>2496324.44</v>
      </c>
      <c r="T24" s="25"/>
      <c r="U24" s="25"/>
      <c r="V24" s="25"/>
      <c r="W24" s="26">
        <f>-3324.44</f>
        <v>-3324.44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5104000</f>
        <v>5104000</v>
      </c>
      <c r="Q25" s="25"/>
      <c r="R25" s="25"/>
      <c r="S25" s="25">
        <f>5156332.37</f>
        <v>5156332.37</v>
      </c>
      <c r="T25" s="25"/>
      <c r="U25" s="25"/>
      <c r="V25" s="25"/>
      <c r="W25" s="26">
        <f>-52332.37</f>
        <v>-52332.37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1.87</f>
        <v>1.87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2200</f>
        <v>2200</v>
      </c>
      <c r="Q27" s="25"/>
      <c r="R27" s="25"/>
      <c r="S27" s="25">
        <f>2221</f>
        <v>2221</v>
      </c>
      <c r="T27" s="25"/>
      <c r="U27" s="25"/>
      <c r="V27" s="25"/>
      <c r="W27" s="26">
        <f>-21</f>
        <v>-21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235100</f>
        <v>235100</v>
      </c>
      <c r="Q28" s="25"/>
      <c r="R28" s="25"/>
      <c r="S28" s="25">
        <f>235057.9</f>
        <v>235057.9</v>
      </c>
      <c r="T28" s="25"/>
      <c r="U28" s="25"/>
      <c r="V28" s="25"/>
      <c r="W28" s="26">
        <f>42.1</f>
        <v>42.1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133900</f>
        <v>133900</v>
      </c>
      <c r="Q29" s="25"/>
      <c r="R29" s="25"/>
      <c r="S29" s="25">
        <f>133942.92</f>
        <v>133942.92</v>
      </c>
      <c r="T29" s="25"/>
      <c r="U29" s="25"/>
      <c r="V29" s="25"/>
      <c r="W29" s="26">
        <f>-42.92</f>
        <v>-42.92</v>
      </c>
      <c r="X29" s="26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300</f>
        <v>300</v>
      </c>
      <c r="Q30" s="25"/>
      <c r="R30" s="25"/>
      <c r="S30" s="25">
        <f>369.28</f>
        <v>369.28</v>
      </c>
      <c r="T30" s="25"/>
      <c r="U30" s="25"/>
      <c r="V30" s="25"/>
      <c r="W30" s="26">
        <f>-69.28</f>
        <v>-69.28</v>
      </c>
      <c r="X30" s="26"/>
    </row>
    <row r="31" spans="1:24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321700</f>
        <v>321700</v>
      </c>
      <c r="Q31" s="25"/>
      <c r="R31" s="25"/>
      <c r="S31" s="25">
        <f>322655.08</f>
        <v>322655.08</v>
      </c>
      <c r="T31" s="25"/>
      <c r="U31" s="25"/>
      <c r="V31" s="25"/>
      <c r="W31" s="26">
        <f>-955.08</f>
        <v>-955.08</v>
      </c>
      <c r="X31" s="26"/>
    </row>
    <row r="32" spans="1:24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33800</f>
        <v>33800</v>
      </c>
      <c r="Q32" s="25"/>
      <c r="R32" s="25"/>
      <c r="S32" s="25">
        <f>33800</f>
        <v>33800</v>
      </c>
      <c r="T32" s="25"/>
      <c r="U32" s="25"/>
      <c r="V32" s="25"/>
      <c r="W32" s="26">
        <f>0</f>
        <v>0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46</v>
      </c>
      <c r="Q33" s="27"/>
      <c r="R33" s="27"/>
      <c r="S33" s="25">
        <f>0</f>
        <v>0</v>
      </c>
      <c r="T33" s="25"/>
      <c r="U33" s="25"/>
      <c r="V33" s="25"/>
      <c r="W33" s="26">
        <f>0</f>
        <v>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10454700</f>
        <v>10454700</v>
      </c>
      <c r="Q34" s="25"/>
      <c r="R34" s="25"/>
      <c r="S34" s="25">
        <f>10454700</f>
        <v>10454700</v>
      </c>
      <c r="T34" s="25"/>
      <c r="U34" s="25"/>
      <c r="V34" s="25"/>
      <c r="W34" s="26">
        <f>0</f>
        <v>0</v>
      </c>
      <c r="X34" s="26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7389100</f>
        <v>7389100</v>
      </c>
      <c r="Q35" s="25"/>
      <c r="R35" s="25"/>
      <c r="S35" s="25">
        <f>6462350.88</f>
        <v>6462350.88</v>
      </c>
      <c r="T35" s="25"/>
      <c r="U35" s="25"/>
      <c r="V35" s="25"/>
      <c r="W35" s="26">
        <f>926749.12</f>
        <v>926749.12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380800</f>
        <v>380800</v>
      </c>
      <c r="Q36" s="25"/>
      <c r="R36" s="25"/>
      <c r="S36" s="25">
        <f>380800</f>
        <v>380800</v>
      </c>
      <c r="T36" s="25"/>
      <c r="U36" s="25"/>
      <c r="V36" s="25"/>
      <c r="W36" s="26">
        <f>0</f>
        <v>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7600</f>
        <v>7600</v>
      </c>
      <c r="Q37" s="25"/>
      <c r="R37" s="25"/>
      <c r="S37" s="25">
        <f>7600</f>
        <v>7600</v>
      </c>
      <c r="T37" s="25"/>
      <c r="U37" s="25"/>
      <c r="V37" s="25"/>
      <c r="W37" s="26">
        <f>0</f>
        <v>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4500000</f>
        <v>4500000</v>
      </c>
      <c r="Q38" s="25"/>
      <c r="R38" s="25"/>
      <c r="S38" s="25">
        <f>4500000</f>
        <v>4500000</v>
      </c>
      <c r="T38" s="25"/>
      <c r="U38" s="25"/>
      <c r="V38" s="25"/>
      <c r="W38" s="26">
        <f>0</f>
        <v>0</v>
      </c>
      <c r="X38" s="26"/>
    </row>
    <row r="39" spans="1:24" s="1" customFormat="1" ht="13.5" customHeight="1">
      <c r="A39" s="28" t="s">
        <v>13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1" customFormat="1" ht="13.5" customHeight="1">
      <c r="A40" s="12" t="s">
        <v>91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" customFormat="1" ht="34.5" customHeight="1">
      <c r="A41" s="13" t="s">
        <v>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24</v>
      </c>
      <c r="M41" s="13"/>
      <c r="N41" s="13" t="s">
        <v>92</v>
      </c>
      <c r="O41" s="13"/>
      <c r="P41" s="14" t="s">
        <v>26</v>
      </c>
      <c r="Q41" s="14"/>
      <c r="R41" s="14"/>
      <c r="S41" s="14" t="s">
        <v>27</v>
      </c>
      <c r="T41" s="14"/>
      <c r="U41" s="14"/>
      <c r="V41" s="14"/>
      <c r="W41" s="15" t="s">
        <v>28</v>
      </c>
      <c r="X41" s="15"/>
    </row>
    <row r="42" spans="1:24" s="1" customFormat="1" ht="13.5" customHeight="1">
      <c r="A42" s="16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30</v>
      </c>
      <c r="M42" s="16"/>
      <c r="N42" s="16" t="s">
        <v>31</v>
      </c>
      <c r="O42" s="16"/>
      <c r="P42" s="17" t="s">
        <v>32</v>
      </c>
      <c r="Q42" s="17"/>
      <c r="R42" s="17"/>
      <c r="S42" s="17" t="s">
        <v>33</v>
      </c>
      <c r="T42" s="17"/>
      <c r="U42" s="17"/>
      <c r="V42" s="17"/>
      <c r="W42" s="18" t="s">
        <v>34</v>
      </c>
      <c r="X42" s="18"/>
    </row>
    <row r="43" spans="1:24" s="1" customFormat="1" ht="13.5" customHeight="1">
      <c r="A43" s="19" t="s">
        <v>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94</v>
      </c>
      <c r="M43" s="20"/>
      <c r="N43" s="20" t="s">
        <v>37</v>
      </c>
      <c r="O43" s="20"/>
      <c r="P43" s="21">
        <f>50768851.44</f>
        <v>50768851.44</v>
      </c>
      <c r="Q43" s="21"/>
      <c r="R43" s="21"/>
      <c r="S43" s="21">
        <f>49381873.9</f>
        <v>49381873.9</v>
      </c>
      <c r="T43" s="21"/>
      <c r="U43" s="21"/>
      <c r="V43" s="21"/>
      <c r="W43" s="22">
        <f>1386977.54</f>
        <v>1386977.54</v>
      </c>
      <c r="X43" s="22"/>
    </row>
    <row r="44" spans="1:24" s="1" customFormat="1" ht="13.5" customHeight="1">
      <c r="A44" s="29" t="s">
        <v>95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94</v>
      </c>
      <c r="M44" s="30"/>
      <c r="N44" s="30" t="s">
        <v>96</v>
      </c>
      <c r="O44" s="30"/>
      <c r="P44" s="31">
        <f>536000</f>
        <v>536000</v>
      </c>
      <c r="Q44" s="31"/>
      <c r="R44" s="31"/>
      <c r="S44" s="31">
        <f>536000</f>
        <v>536000</v>
      </c>
      <c r="T44" s="31"/>
      <c r="U44" s="31"/>
      <c r="V44" s="31"/>
      <c r="W44" s="32">
        <f>0</f>
        <v>0</v>
      </c>
      <c r="X44" s="32"/>
    </row>
    <row r="45" spans="1:24" s="1" customFormat="1" ht="33.75" customHeight="1">
      <c r="A45" s="29" t="s">
        <v>97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94</v>
      </c>
      <c r="M45" s="30"/>
      <c r="N45" s="30" t="s">
        <v>98</v>
      </c>
      <c r="O45" s="30"/>
      <c r="P45" s="31">
        <f>161900</f>
        <v>161900</v>
      </c>
      <c r="Q45" s="31"/>
      <c r="R45" s="31"/>
      <c r="S45" s="31">
        <f>161900</f>
        <v>161900</v>
      </c>
      <c r="T45" s="31"/>
      <c r="U45" s="31"/>
      <c r="V45" s="31"/>
      <c r="W45" s="32">
        <f>0</f>
        <v>0</v>
      </c>
      <c r="X45" s="32"/>
    </row>
    <row r="46" spans="1:24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94</v>
      </c>
      <c r="M46" s="30"/>
      <c r="N46" s="30" t="s">
        <v>99</v>
      </c>
      <c r="O46" s="30"/>
      <c r="P46" s="31">
        <f>3213100</f>
        <v>3213100</v>
      </c>
      <c r="Q46" s="31"/>
      <c r="R46" s="31"/>
      <c r="S46" s="31">
        <f>3213100</f>
        <v>3213100</v>
      </c>
      <c r="T46" s="31"/>
      <c r="U46" s="31"/>
      <c r="V46" s="31"/>
      <c r="W46" s="32">
        <f>0</f>
        <v>0</v>
      </c>
      <c r="X46" s="32"/>
    </row>
    <row r="47" spans="1:24" s="1" customFormat="1" ht="33.7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94</v>
      </c>
      <c r="M47" s="30"/>
      <c r="N47" s="30" t="s">
        <v>100</v>
      </c>
      <c r="O47" s="30"/>
      <c r="P47" s="31">
        <f>970300</f>
        <v>970300</v>
      </c>
      <c r="Q47" s="31"/>
      <c r="R47" s="31"/>
      <c r="S47" s="31">
        <f>970300</f>
        <v>970300</v>
      </c>
      <c r="T47" s="31"/>
      <c r="U47" s="31"/>
      <c r="V47" s="31"/>
      <c r="W47" s="32">
        <f>0</f>
        <v>0</v>
      </c>
      <c r="X47" s="32"/>
    </row>
    <row r="48" spans="1:24" s="1" customFormat="1" ht="24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94</v>
      </c>
      <c r="M48" s="30"/>
      <c r="N48" s="30" t="s">
        <v>102</v>
      </c>
      <c r="O48" s="30"/>
      <c r="P48" s="31">
        <f>675100</f>
        <v>675100</v>
      </c>
      <c r="Q48" s="31"/>
      <c r="R48" s="31"/>
      <c r="S48" s="31">
        <f>669662.04</f>
        <v>669662.04</v>
      </c>
      <c r="T48" s="31"/>
      <c r="U48" s="31"/>
      <c r="V48" s="31"/>
      <c r="W48" s="32">
        <f>5437.96</f>
        <v>5437.96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94</v>
      </c>
      <c r="M49" s="30"/>
      <c r="N49" s="30" t="s">
        <v>104</v>
      </c>
      <c r="O49" s="30"/>
      <c r="P49" s="31">
        <f>227000</f>
        <v>227000</v>
      </c>
      <c r="Q49" s="31"/>
      <c r="R49" s="31"/>
      <c r="S49" s="31">
        <f>113069.96</f>
        <v>113069.96</v>
      </c>
      <c r="T49" s="31"/>
      <c r="U49" s="31"/>
      <c r="V49" s="31"/>
      <c r="W49" s="32">
        <f>113930.04</f>
        <v>113930.04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94</v>
      </c>
      <c r="M50" s="30"/>
      <c r="N50" s="30" t="s">
        <v>106</v>
      </c>
      <c r="O50" s="30"/>
      <c r="P50" s="31">
        <f>41300</f>
        <v>41300</v>
      </c>
      <c r="Q50" s="31"/>
      <c r="R50" s="31"/>
      <c r="S50" s="31">
        <f>6535</f>
        <v>6535</v>
      </c>
      <c r="T50" s="31"/>
      <c r="U50" s="31"/>
      <c r="V50" s="31"/>
      <c r="W50" s="32">
        <f>34765</f>
        <v>34765</v>
      </c>
      <c r="X50" s="32"/>
    </row>
    <row r="51" spans="1:24" s="1" customFormat="1" ht="13.5" customHeight="1">
      <c r="A51" s="29" t="s">
        <v>107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94</v>
      </c>
      <c r="M51" s="30"/>
      <c r="N51" s="30" t="s">
        <v>108</v>
      </c>
      <c r="O51" s="30"/>
      <c r="P51" s="31">
        <f>9600</f>
        <v>9600</v>
      </c>
      <c r="Q51" s="31"/>
      <c r="R51" s="31"/>
      <c r="S51" s="31">
        <f>9513.39</f>
        <v>9513.39</v>
      </c>
      <c r="T51" s="31"/>
      <c r="U51" s="31"/>
      <c r="V51" s="31"/>
      <c r="W51" s="32">
        <f>86.61</f>
        <v>86.61</v>
      </c>
      <c r="X51" s="32"/>
    </row>
    <row r="52" spans="1:24" s="1" customFormat="1" ht="24" customHeight="1">
      <c r="A52" s="29" t="s">
        <v>101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94</v>
      </c>
      <c r="M52" s="30"/>
      <c r="N52" s="30" t="s">
        <v>109</v>
      </c>
      <c r="O52" s="30"/>
      <c r="P52" s="31">
        <f>7600</f>
        <v>7600</v>
      </c>
      <c r="Q52" s="31"/>
      <c r="R52" s="31"/>
      <c r="S52" s="31">
        <f>7600</f>
        <v>7600</v>
      </c>
      <c r="T52" s="31"/>
      <c r="U52" s="31"/>
      <c r="V52" s="31"/>
      <c r="W52" s="32">
        <f>0</f>
        <v>0</v>
      </c>
      <c r="X52" s="32"/>
    </row>
    <row r="53" spans="1:24" s="1" customFormat="1" ht="13.5" customHeight="1">
      <c r="A53" s="29" t="s">
        <v>110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94</v>
      </c>
      <c r="M53" s="30"/>
      <c r="N53" s="30" t="s">
        <v>111</v>
      </c>
      <c r="O53" s="30"/>
      <c r="P53" s="31">
        <f>180900</f>
        <v>180900</v>
      </c>
      <c r="Q53" s="31"/>
      <c r="R53" s="31"/>
      <c r="S53" s="31">
        <f>180900</f>
        <v>180900</v>
      </c>
      <c r="T53" s="31"/>
      <c r="U53" s="31"/>
      <c r="V53" s="31"/>
      <c r="W53" s="32">
        <f>0</f>
        <v>0</v>
      </c>
      <c r="X53" s="32"/>
    </row>
    <row r="54" spans="1:24" s="1" customFormat="1" ht="13.5" customHeight="1">
      <c r="A54" s="29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94</v>
      </c>
      <c r="M54" s="30"/>
      <c r="N54" s="30" t="s">
        <v>113</v>
      </c>
      <c r="O54" s="30"/>
      <c r="P54" s="31">
        <f>550000</f>
        <v>550000</v>
      </c>
      <c r="Q54" s="31"/>
      <c r="R54" s="31"/>
      <c r="S54" s="31">
        <f>550000</f>
        <v>550000</v>
      </c>
      <c r="T54" s="31"/>
      <c r="U54" s="31"/>
      <c r="V54" s="31"/>
      <c r="W54" s="32">
        <f>0</f>
        <v>0</v>
      </c>
      <c r="X54" s="32"/>
    </row>
    <row r="55" spans="1:24" s="1" customFormat="1" ht="13.5" customHeight="1">
      <c r="A55" s="29" t="s">
        <v>114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94</v>
      </c>
      <c r="M55" s="30"/>
      <c r="N55" s="30" t="s">
        <v>115</v>
      </c>
      <c r="O55" s="30"/>
      <c r="P55" s="31">
        <f>40000</f>
        <v>40000</v>
      </c>
      <c r="Q55" s="31"/>
      <c r="R55" s="31"/>
      <c r="S55" s="33" t="s">
        <v>46</v>
      </c>
      <c r="T55" s="33"/>
      <c r="U55" s="33"/>
      <c r="V55" s="33"/>
      <c r="W55" s="32">
        <f>40000</f>
        <v>40000</v>
      </c>
      <c r="X55" s="32"/>
    </row>
    <row r="56" spans="1:24" s="1" customFormat="1" ht="24" customHeight="1">
      <c r="A56" s="29" t="s">
        <v>101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94</v>
      </c>
      <c r="M56" s="30"/>
      <c r="N56" s="30" t="s">
        <v>116</v>
      </c>
      <c r="O56" s="30"/>
      <c r="P56" s="31">
        <f>72500</f>
        <v>72500</v>
      </c>
      <c r="Q56" s="31"/>
      <c r="R56" s="31"/>
      <c r="S56" s="31">
        <f>72499.98</f>
        <v>72499.98</v>
      </c>
      <c r="T56" s="31"/>
      <c r="U56" s="31"/>
      <c r="V56" s="31"/>
      <c r="W56" s="32">
        <f>0.02</f>
        <v>0.02</v>
      </c>
      <c r="X56" s="32"/>
    </row>
    <row r="57" spans="1:24" s="1" customFormat="1" ht="33.75" customHeight="1">
      <c r="A57" s="29" t="s">
        <v>117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94</v>
      </c>
      <c r="M57" s="30"/>
      <c r="N57" s="30" t="s">
        <v>118</v>
      </c>
      <c r="O57" s="30"/>
      <c r="P57" s="31">
        <f>89600</f>
        <v>89600</v>
      </c>
      <c r="Q57" s="31"/>
      <c r="R57" s="31"/>
      <c r="S57" s="31">
        <f>89600</f>
        <v>89600</v>
      </c>
      <c r="T57" s="31"/>
      <c r="U57" s="31"/>
      <c r="V57" s="31"/>
      <c r="W57" s="32">
        <f>0</f>
        <v>0</v>
      </c>
      <c r="X57" s="32"/>
    </row>
    <row r="58" spans="1:24" s="1" customFormat="1" ht="24" customHeight="1">
      <c r="A58" s="29" t="s">
        <v>101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94</v>
      </c>
      <c r="M58" s="30"/>
      <c r="N58" s="30" t="s">
        <v>119</v>
      </c>
      <c r="O58" s="30"/>
      <c r="P58" s="31">
        <f>0</f>
        <v>0</v>
      </c>
      <c r="Q58" s="31"/>
      <c r="R58" s="31"/>
      <c r="S58" s="33" t="s">
        <v>46</v>
      </c>
      <c r="T58" s="33"/>
      <c r="U58" s="33"/>
      <c r="V58" s="33"/>
      <c r="W58" s="32">
        <f>0</f>
        <v>0</v>
      </c>
      <c r="X58" s="32"/>
    </row>
    <row r="59" spans="1:24" s="1" customFormat="1" ht="13.5" customHeight="1">
      <c r="A59" s="29" t="s">
        <v>120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94</v>
      </c>
      <c r="M59" s="30"/>
      <c r="N59" s="30" t="s">
        <v>121</v>
      </c>
      <c r="O59" s="30"/>
      <c r="P59" s="31">
        <f>0</f>
        <v>0</v>
      </c>
      <c r="Q59" s="31"/>
      <c r="R59" s="31"/>
      <c r="S59" s="31">
        <f>0</f>
        <v>0</v>
      </c>
      <c r="T59" s="31"/>
      <c r="U59" s="31"/>
      <c r="V59" s="31"/>
      <c r="W59" s="32">
        <f>0</f>
        <v>0</v>
      </c>
      <c r="X59" s="32"/>
    </row>
    <row r="60" spans="1:24" s="1" customFormat="1" ht="24" customHeight="1">
      <c r="A60" s="29" t="s">
        <v>101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94</v>
      </c>
      <c r="M60" s="30"/>
      <c r="N60" s="30" t="s">
        <v>122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13.5" customHeight="1">
      <c r="A61" s="29" t="s">
        <v>123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94</v>
      </c>
      <c r="M61" s="30"/>
      <c r="N61" s="30" t="s">
        <v>124</v>
      </c>
      <c r="O61" s="30"/>
      <c r="P61" s="31">
        <f>3730700</f>
        <v>3730700</v>
      </c>
      <c r="Q61" s="31"/>
      <c r="R61" s="31"/>
      <c r="S61" s="31">
        <f>3730700</f>
        <v>3730700</v>
      </c>
      <c r="T61" s="31"/>
      <c r="U61" s="31"/>
      <c r="V61" s="31"/>
      <c r="W61" s="32">
        <f>0</f>
        <v>0</v>
      </c>
      <c r="X61" s="32"/>
    </row>
    <row r="62" spans="1:24" s="1" customFormat="1" ht="24" customHeight="1">
      <c r="A62" s="29" t="s">
        <v>125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94</v>
      </c>
      <c r="M62" s="30"/>
      <c r="N62" s="30" t="s">
        <v>126</v>
      </c>
      <c r="O62" s="30"/>
      <c r="P62" s="31">
        <f>1135400</f>
        <v>1135400</v>
      </c>
      <c r="Q62" s="31"/>
      <c r="R62" s="31"/>
      <c r="S62" s="31">
        <f>1135384.89</f>
        <v>1135384.89</v>
      </c>
      <c r="T62" s="31"/>
      <c r="U62" s="31"/>
      <c r="V62" s="31"/>
      <c r="W62" s="32">
        <f>15.11</f>
        <v>15.11</v>
      </c>
      <c r="X62" s="32"/>
    </row>
    <row r="63" spans="1:24" s="1" customFormat="1" ht="24" customHeight="1">
      <c r="A63" s="29" t="s">
        <v>101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94</v>
      </c>
      <c r="M63" s="30"/>
      <c r="N63" s="30" t="s">
        <v>127</v>
      </c>
      <c r="O63" s="30"/>
      <c r="P63" s="31">
        <f>2766500</f>
        <v>2766500</v>
      </c>
      <c r="Q63" s="31"/>
      <c r="R63" s="31"/>
      <c r="S63" s="31">
        <f>2766348.69</f>
        <v>2766348.69</v>
      </c>
      <c r="T63" s="31"/>
      <c r="U63" s="31"/>
      <c r="V63" s="31"/>
      <c r="W63" s="32">
        <f>151.31</f>
        <v>151.31</v>
      </c>
      <c r="X63" s="32"/>
    </row>
    <row r="64" spans="1:24" s="1" customFormat="1" ht="13.5" customHeight="1">
      <c r="A64" s="29" t="s">
        <v>103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94</v>
      </c>
      <c r="M64" s="30"/>
      <c r="N64" s="30" t="s">
        <v>128</v>
      </c>
      <c r="O64" s="30"/>
      <c r="P64" s="31">
        <f>88800</f>
        <v>88800</v>
      </c>
      <c r="Q64" s="31"/>
      <c r="R64" s="31"/>
      <c r="S64" s="31">
        <f>66053.79</f>
        <v>66053.79</v>
      </c>
      <c r="T64" s="31"/>
      <c r="U64" s="31"/>
      <c r="V64" s="31"/>
      <c r="W64" s="32">
        <f>22746.21</f>
        <v>22746.21</v>
      </c>
      <c r="X64" s="32"/>
    </row>
    <row r="65" spans="1:24" s="1" customFormat="1" ht="13.5" customHeight="1">
      <c r="A65" s="29" t="s">
        <v>105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94</v>
      </c>
      <c r="M65" s="30"/>
      <c r="N65" s="30" t="s">
        <v>129</v>
      </c>
      <c r="O65" s="30"/>
      <c r="P65" s="31">
        <f>16500</f>
        <v>16500</v>
      </c>
      <c r="Q65" s="31"/>
      <c r="R65" s="31"/>
      <c r="S65" s="31">
        <f>9707</f>
        <v>9707</v>
      </c>
      <c r="T65" s="31"/>
      <c r="U65" s="31"/>
      <c r="V65" s="31"/>
      <c r="W65" s="32">
        <f>6793</f>
        <v>6793</v>
      </c>
      <c r="X65" s="32"/>
    </row>
    <row r="66" spans="1:24" s="1" customFormat="1" ht="13.5" customHeight="1">
      <c r="A66" s="29" t="s">
        <v>107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94</v>
      </c>
      <c r="M66" s="30"/>
      <c r="N66" s="30" t="s">
        <v>130</v>
      </c>
      <c r="O66" s="30"/>
      <c r="P66" s="31">
        <f>8600</f>
        <v>8600</v>
      </c>
      <c r="Q66" s="31"/>
      <c r="R66" s="31"/>
      <c r="S66" s="31">
        <f>8510.03</f>
        <v>8510.03</v>
      </c>
      <c r="T66" s="31"/>
      <c r="U66" s="31"/>
      <c r="V66" s="31"/>
      <c r="W66" s="32">
        <f>89.97</f>
        <v>89.97</v>
      </c>
      <c r="X66" s="32"/>
    </row>
    <row r="67" spans="1:24" s="1" customFormat="1" ht="24" customHeight="1">
      <c r="A67" s="29" t="s">
        <v>101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94</v>
      </c>
      <c r="M67" s="30"/>
      <c r="N67" s="30" t="s">
        <v>131</v>
      </c>
      <c r="O67" s="30"/>
      <c r="P67" s="31">
        <f>0</f>
        <v>0</v>
      </c>
      <c r="Q67" s="31"/>
      <c r="R67" s="31"/>
      <c r="S67" s="33" t="s">
        <v>46</v>
      </c>
      <c r="T67" s="33"/>
      <c r="U67" s="33"/>
      <c r="V67" s="33"/>
      <c r="W67" s="32">
        <f>0</f>
        <v>0</v>
      </c>
      <c r="X67" s="32"/>
    </row>
    <row r="68" spans="1:24" s="1" customFormat="1" ht="13.5" customHeight="1">
      <c r="A68" s="29" t="s">
        <v>95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94</v>
      </c>
      <c r="M68" s="30"/>
      <c r="N68" s="30" t="s">
        <v>132</v>
      </c>
      <c r="O68" s="30"/>
      <c r="P68" s="31">
        <f>292500</f>
        <v>292500</v>
      </c>
      <c r="Q68" s="31"/>
      <c r="R68" s="31"/>
      <c r="S68" s="31">
        <f>292500</f>
        <v>292500</v>
      </c>
      <c r="T68" s="31"/>
      <c r="U68" s="31"/>
      <c r="V68" s="31"/>
      <c r="W68" s="32">
        <f>0</f>
        <v>0</v>
      </c>
      <c r="X68" s="32"/>
    </row>
    <row r="69" spans="1:24" s="1" customFormat="1" ht="33.75" customHeight="1">
      <c r="A69" s="29" t="s">
        <v>97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94</v>
      </c>
      <c r="M69" s="30"/>
      <c r="N69" s="30" t="s">
        <v>133</v>
      </c>
      <c r="O69" s="30"/>
      <c r="P69" s="31">
        <f>88300</f>
        <v>88300</v>
      </c>
      <c r="Q69" s="31"/>
      <c r="R69" s="31"/>
      <c r="S69" s="31">
        <f>88300</f>
        <v>88300</v>
      </c>
      <c r="T69" s="31"/>
      <c r="U69" s="31"/>
      <c r="V69" s="31"/>
      <c r="W69" s="32">
        <f>0</f>
        <v>0</v>
      </c>
      <c r="X69" s="32"/>
    </row>
    <row r="70" spans="1:24" s="1" customFormat="1" ht="24" customHeight="1">
      <c r="A70" s="29" t="s">
        <v>101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94</v>
      </c>
      <c r="M70" s="30"/>
      <c r="N70" s="30" t="s">
        <v>134</v>
      </c>
      <c r="O70" s="30"/>
      <c r="P70" s="31">
        <f aca="true" t="shared" si="0" ref="P70:P76">1000</f>
        <v>1000</v>
      </c>
      <c r="Q70" s="31"/>
      <c r="R70" s="31"/>
      <c r="S70" s="33" t="s">
        <v>46</v>
      </c>
      <c r="T70" s="33"/>
      <c r="U70" s="33"/>
      <c r="V70" s="33"/>
      <c r="W70" s="32">
        <f aca="true" t="shared" si="1" ref="W70:W76">1000</f>
        <v>1000</v>
      </c>
      <c r="X70" s="32"/>
    </row>
    <row r="71" spans="1:24" s="1" customFormat="1" ht="24" customHeight="1">
      <c r="A71" s="29" t="s">
        <v>101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94</v>
      </c>
      <c r="M71" s="30"/>
      <c r="N71" s="30" t="s">
        <v>135</v>
      </c>
      <c r="O71" s="30"/>
      <c r="P71" s="31">
        <f t="shared" si="0"/>
        <v>1000</v>
      </c>
      <c r="Q71" s="31"/>
      <c r="R71" s="31"/>
      <c r="S71" s="33" t="s">
        <v>46</v>
      </c>
      <c r="T71" s="33"/>
      <c r="U71" s="33"/>
      <c r="V71" s="33"/>
      <c r="W71" s="32">
        <f t="shared" si="1"/>
        <v>1000</v>
      </c>
      <c r="X71" s="32"/>
    </row>
    <row r="72" spans="1:24" s="1" customFormat="1" ht="24" customHeight="1">
      <c r="A72" s="29" t="s">
        <v>101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94</v>
      </c>
      <c r="M72" s="30"/>
      <c r="N72" s="30" t="s">
        <v>136</v>
      </c>
      <c r="O72" s="30"/>
      <c r="P72" s="31">
        <f t="shared" si="0"/>
        <v>1000</v>
      </c>
      <c r="Q72" s="31"/>
      <c r="R72" s="31"/>
      <c r="S72" s="33" t="s">
        <v>46</v>
      </c>
      <c r="T72" s="33"/>
      <c r="U72" s="33"/>
      <c r="V72" s="33"/>
      <c r="W72" s="32">
        <f t="shared" si="1"/>
        <v>1000</v>
      </c>
      <c r="X72" s="32"/>
    </row>
    <row r="73" spans="1:24" s="1" customFormat="1" ht="24" customHeight="1">
      <c r="A73" s="29" t="s">
        <v>101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94</v>
      </c>
      <c r="M73" s="30"/>
      <c r="N73" s="30" t="s">
        <v>137</v>
      </c>
      <c r="O73" s="30"/>
      <c r="P73" s="31">
        <f t="shared" si="0"/>
        <v>1000</v>
      </c>
      <c r="Q73" s="31"/>
      <c r="R73" s="31"/>
      <c r="S73" s="33" t="s">
        <v>46</v>
      </c>
      <c r="T73" s="33"/>
      <c r="U73" s="33"/>
      <c r="V73" s="33"/>
      <c r="W73" s="32">
        <f t="shared" si="1"/>
        <v>1000</v>
      </c>
      <c r="X73" s="32"/>
    </row>
    <row r="74" spans="1:24" s="1" customFormat="1" ht="24" customHeight="1">
      <c r="A74" s="29" t="s">
        <v>101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94</v>
      </c>
      <c r="M74" s="30"/>
      <c r="N74" s="30" t="s">
        <v>138</v>
      </c>
      <c r="O74" s="30"/>
      <c r="P74" s="31">
        <f t="shared" si="0"/>
        <v>1000</v>
      </c>
      <c r="Q74" s="31"/>
      <c r="R74" s="31"/>
      <c r="S74" s="33" t="s">
        <v>46</v>
      </c>
      <c r="T74" s="33"/>
      <c r="U74" s="33"/>
      <c r="V74" s="33"/>
      <c r="W74" s="32">
        <f t="shared" si="1"/>
        <v>1000</v>
      </c>
      <c r="X74" s="32"/>
    </row>
    <row r="75" spans="1:24" s="1" customFormat="1" ht="24" customHeight="1">
      <c r="A75" s="29" t="s">
        <v>101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94</v>
      </c>
      <c r="M75" s="30"/>
      <c r="N75" s="30" t="s">
        <v>139</v>
      </c>
      <c r="O75" s="30"/>
      <c r="P75" s="31">
        <f t="shared" si="0"/>
        <v>1000</v>
      </c>
      <c r="Q75" s="31"/>
      <c r="R75" s="31"/>
      <c r="S75" s="33" t="s">
        <v>46</v>
      </c>
      <c r="T75" s="33"/>
      <c r="U75" s="33"/>
      <c r="V75" s="33"/>
      <c r="W75" s="32">
        <f t="shared" si="1"/>
        <v>1000</v>
      </c>
      <c r="X75" s="32"/>
    </row>
    <row r="76" spans="1:24" s="1" customFormat="1" ht="24" customHeight="1">
      <c r="A76" s="29" t="s">
        <v>101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94</v>
      </c>
      <c r="M76" s="30"/>
      <c r="N76" s="30" t="s">
        <v>140</v>
      </c>
      <c r="O76" s="30"/>
      <c r="P76" s="31">
        <f t="shared" si="0"/>
        <v>1000</v>
      </c>
      <c r="Q76" s="31"/>
      <c r="R76" s="31"/>
      <c r="S76" s="33" t="s">
        <v>46</v>
      </c>
      <c r="T76" s="33"/>
      <c r="U76" s="33"/>
      <c r="V76" s="33"/>
      <c r="W76" s="32">
        <f t="shared" si="1"/>
        <v>1000</v>
      </c>
      <c r="X76" s="32"/>
    </row>
    <row r="77" spans="1:24" s="1" customFormat="1" ht="24" customHeight="1">
      <c r="A77" s="29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94</v>
      </c>
      <c r="M77" s="30"/>
      <c r="N77" s="30" t="s">
        <v>141</v>
      </c>
      <c r="O77" s="30"/>
      <c r="P77" s="31">
        <f>40200</f>
        <v>40200</v>
      </c>
      <c r="Q77" s="31"/>
      <c r="R77" s="31"/>
      <c r="S77" s="31">
        <f>40200</f>
        <v>40200</v>
      </c>
      <c r="T77" s="31"/>
      <c r="U77" s="31"/>
      <c r="V77" s="31"/>
      <c r="W77" s="32">
        <f>0</f>
        <v>0</v>
      </c>
      <c r="X77" s="32"/>
    </row>
    <row r="78" spans="1:24" s="1" customFormat="1" ht="13.5" customHeight="1">
      <c r="A78" s="29" t="s">
        <v>110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94</v>
      </c>
      <c r="M78" s="30"/>
      <c r="N78" s="30" t="s">
        <v>142</v>
      </c>
      <c r="O78" s="30"/>
      <c r="P78" s="31">
        <f>1496100</f>
        <v>1496100</v>
      </c>
      <c r="Q78" s="31"/>
      <c r="R78" s="31"/>
      <c r="S78" s="31">
        <f>1496100</f>
        <v>1496100</v>
      </c>
      <c r="T78" s="31"/>
      <c r="U78" s="31"/>
      <c r="V78" s="31"/>
      <c r="W78" s="32">
        <f>0</f>
        <v>0</v>
      </c>
      <c r="X78" s="32"/>
    </row>
    <row r="79" spans="1:24" s="1" customFormat="1" ht="24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94</v>
      </c>
      <c r="M79" s="30"/>
      <c r="N79" s="30" t="s">
        <v>143</v>
      </c>
      <c r="O79" s="30"/>
      <c r="P79" s="31">
        <f>4327400</f>
        <v>4327400</v>
      </c>
      <c r="Q79" s="31"/>
      <c r="R79" s="31"/>
      <c r="S79" s="31">
        <f>3400650.88</f>
        <v>3400650.88</v>
      </c>
      <c r="T79" s="31"/>
      <c r="U79" s="31"/>
      <c r="V79" s="31"/>
      <c r="W79" s="32">
        <f>926749.12</f>
        <v>926749.12</v>
      </c>
      <c r="X79" s="32"/>
    </row>
    <row r="80" spans="1:24" s="1" customFormat="1" ht="24" customHeight="1">
      <c r="A80" s="29" t="s">
        <v>101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94</v>
      </c>
      <c r="M80" s="30"/>
      <c r="N80" s="30" t="s">
        <v>144</v>
      </c>
      <c r="O80" s="30"/>
      <c r="P80" s="31">
        <f>179100</f>
        <v>179100</v>
      </c>
      <c r="Q80" s="31"/>
      <c r="R80" s="31"/>
      <c r="S80" s="31">
        <f>179014.71</f>
        <v>179014.71</v>
      </c>
      <c r="T80" s="31"/>
      <c r="U80" s="31"/>
      <c r="V80" s="31"/>
      <c r="W80" s="32">
        <f>85.29</f>
        <v>85.29</v>
      </c>
      <c r="X80" s="32"/>
    </row>
    <row r="81" spans="1:24" s="1" customFormat="1" ht="24" customHeight="1">
      <c r="A81" s="29" t="s">
        <v>101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94</v>
      </c>
      <c r="M81" s="30"/>
      <c r="N81" s="30" t="s">
        <v>145</v>
      </c>
      <c r="O81" s="30"/>
      <c r="P81" s="31">
        <f>159000</f>
        <v>159000</v>
      </c>
      <c r="Q81" s="31"/>
      <c r="R81" s="31"/>
      <c r="S81" s="31">
        <f>150000</f>
        <v>150000</v>
      </c>
      <c r="T81" s="31"/>
      <c r="U81" s="31"/>
      <c r="V81" s="31"/>
      <c r="W81" s="32">
        <f>9000</f>
        <v>9000</v>
      </c>
      <c r="X81" s="32"/>
    </row>
    <row r="82" spans="1:24" s="1" customFormat="1" ht="24" customHeight="1">
      <c r="A82" s="29" t="s">
        <v>101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94</v>
      </c>
      <c r="M82" s="30"/>
      <c r="N82" s="30" t="s">
        <v>146</v>
      </c>
      <c r="O82" s="30"/>
      <c r="P82" s="31">
        <f>3130000</f>
        <v>3130000</v>
      </c>
      <c r="Q82" s="31"/>
      <c r="R82" s="31"/>
      <c r="S82" s="31">
        <f>3129201.49</f>
        <v>3129201.49</v>
      </c>
      <c r="T82" s="31"/>
      <c r="U82" s="31"/>
      <c r="V82" s="31"/>
      <c r="W82" s="32">
        <f>798.51</f>
        <v>798.51</v>
      </c>
      <c r="X82" s="32"/>
    </row>
    <row r="83" spans="1:24" s="1" customFormat="1" ht="24" customHeight="1">
      <c r="A83" s="29" t="s">
        <v>101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94</v>
      </c>
      <c r="M83" s="30"/>
      <c r="N83" s="30" t="s">
        <v>147</v>
      </c>
      <c r="O83" s="30"/>
      <c r="P83" s="31">
        <f>1252000</f>
        <v>1252000</v>
      </c>
      <c r="Q83" s="31"/>
      <c r="R83" s="31"/>
      <c r="S83" s="31">
        <f>1251639.87</f>
        <v>1251639.87</v>
      </c>
      <c r="T83" s="31"/>
      <c r="U83" s="31"/>
      <c r="V83" s="31"/>
      <c r="W83" s="32">
        <f>360.13</f>
        <v>360.13</v>
      </c>
      <c r="X83" s="32"/>
    </row>
    <row r="84" spans="1:24" s="1" customFormat="1" ht="45" customHeight="1">
      <c r="A84" s="29" t="s">
        <v>148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94</v>
      </c>
      <c r="M84" s="30"/>
      <c r="N84" s="30" t="s">
        <v>149</v>
      </c>
      <c r="O84" s="30"/>
      <c r="P84" s="31">
        <f>0</f>
        <v>0</v>
      </c>
      <c r="Q84" s="31"/>
      <c r="R84" s="31"/>
      <c r="S84" s="33" t="s">
        <v>46</v>
      </c>
      <c r="T84" s="33"/>
      <c r="U84" s="33"/>
      <c r="V84" s="33"/>
      <c r="W84" s="32">
        <f>0</f>
        <v>0</v>
      </c>
      <c r="X84" s="32"/>
    </row>
    <row r="85" spans="1:24" s="1" customFormat="1" ht="13.5" customHeight="1">
      <c r="A85" s="29" t="s">
        <v>107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94</v>
      </c>
      <c r="M85" s="30"/>
      <c r="N85" s="30" t="s">
        <v>150</v>
      </c>
      <c r="O85" s="30"/>
      <c r="P85" s="31">
        <f>10000</f>
        <v>10000</v>
      </c>
      <c r="Q85" s="31"/>
      <c r="R85" s="31"/>
      <c r="S85" s="31">
        <f>10000</f>
        <v>10000</v>
      </c>
      <c r="T85" s="31"/>
      <c r="U85" s="31"/>
      <c r="V85" s="31"/>
      <c r="W85" s="32">
        <f>0</f>
        <v>0</v>
      </c>
      <c r="X85" s="32"/>
    </row>
    <row r="86" spans="1:24" s="1" customFormat="1" ht="24" customHeight="1">
      <c r="A86" s="29" t="s">
        <v>101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94</v>
      </c>
      <c r="M86" s="30"/>
      <c r="N86" s="30" t="s">
        <v>151</v>
      </c>
      <c r="O86" s="30"/>
      <c r="P86" s="31">
        <f>2000</f>
        <v>2000</v>
      </c>
      <c r="Q86" s="31"/>
      <c r="R86" s="31"/>
      <c r="S86" s="33" t="s">
        <v>46</v>
      </c>
      <c r="T86" s="33"/>
      <c r="U86" s="33"/>
      <c r="V86" s="33"/>
      <c r="W86" s="32">
        <f>2000</f>
        <v>2000</v>
      </c>
      <c r="X86" s="32"/>
    </row>
    <row r="87" spans="1:24" s="1" customFormat="1" ht="24" customHeight="1">
      <c r="A87" s="29" t="s">
        <v>101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94</v>
      </c>
      <c r="M87" s="30"/>
      <c r="N87" s="30" t="s">
        <v>152</v>
      </c>
      <c r="O87" s="30"/>
      <c r="P87" s="31">
        <f>1100000</f>
        <v>1100000</v>
      </c>
      <c r="Q87" s="31"/>
      <c r="R87" s="31"/>
      <c r="S87" s="31">
        <f>1100000</f>
        <v>1100000</v>
      </c>
      <c r="T87" s="31"/>
      <c r="U87" s="31"/>
      <c r="V87" s="31"/>
      <c r="W87" s="32">
        <f>0</f>
        <v>0</v>
      </c>
      <c r="X87" s="32"/>
    </row>
    <row r="88" spans="1:24" s="1" customFormat="1" ht="24" customHeight="1">
      <c r="A88" s="29" t="s">
        <v>101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94</v>
      </c>
      <c r="M88" s="30"/>
      <c r="N88" s="30" t="s">
        <v>153</v>
      </c>
      <c r="O88" s="30"/>
      <c r="P88" s="31">
        <f>3000000</f>
        <v>3000000</v>
      </c>
      <c r="Q88" s="31"/>
      <c r="R88" s="31"/>
      <c r="S88" s="31">
        <f>3000000</f>
        <v>3000000</v>
      </c>
      <c r="T88" s="31"/>
      <c r="U88" s="31"/>
      <c r="V88" s="31"/>
      <c r="W88" s="32">
        <f>0</f>
        <v>0</v>
      </c>
      <c r="X88" s="32"/>
    </row>
    <row r="89" spans="1:24" s="1" customFormat="1" ht="24" customHeight="1">
      <c r="A89" s="29" t="s">
        <v>101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94</v>
      </c>
      <c r="M89" s="30"/>
      <c r="N89" s="30" t="s">
        <v>154</v>
      </c>
      <c r="O89" s="30"/>
      <c r="P89" s="31">
        <f>400000</f>
        <v>400000</v>
      </c>
      <c r="Q89" s="31"/>
      <c r="R89" s="31"/>
      <c r="S89" s="31">
        <f>377461.39</f>
        <v>377461.39</v>
      </c>
      <c r="T89" s="31"/>
      <c r="U89" s="31"/>
      <c r="V89" s="31"/>
      <c r="W89" s="32">
        <f>22538.61</f>
        <v>22538.61</v>
      </c>
      <c r="X89" s="32"/>
    </row>
    <row r="90" spans="1:24" s="1" customFormat="1" ht="24" customHeight="1">
      <c r="A90" s="29" t="s">
        <v>101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94</v>
      </c>
      <c r="M90" s="30"/>
      <c r="N90" s="30" t="s">
        <v>155</v>
      </c>
      <c r="O90" s="30"/>
      <c r="P90" s="31">
        <f>10000</f>
        <v>10000</v>
      </c>
      <c r="Q90" s="31"/>
      <c r="R90" s="31"/>
      <c r="S90" s="31">
        <f>10000</f>
        <v>10000</v>
      </c>
      <c r="T90" s="31"/>
      <c r="U90" s="31"/>
      <c r="V90" s="31"/>
      <c r="W90" s="32">
        <f>0</f>
        <v>0</v>
      </c>
      <c r="X90" s="32"/>
    </row>
    <row r="91" spans="1:24" s="1" customFormat="1" ht="24" customHeight="1">
      <c r="A91" s="29" t="s">
        <v>101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94</v>
      </c>
      <c r="M91" s="30"/>
      <c r="N91" s="30" t="s">
        <v>156</v>
      </c>
      <c r="O91" s="30"/>
      <c r="P91" s="31">
        <f>200000</f>
        <v>200000</v>
      </c>
      <c r="Q91" s="31"/>
      <c r="R91" s="31"/>
      <c r="S91" s="31">
        <f>175346.95</f>
        <v>175346.95</v>
      </c>
      <c r="T91" s="31"/>
      <c r="U91" s="31"/>
      <c r="V91" s="31"/>
      <c r="W91" s="32">
        <f>24653.05</f>
        <v>24653.05</v>
      </c>
      <c r="X91" s="32"/>
    </row>
    <row r="92" spans="1:24" s="1" customFormat="1" ht="24" customHeight="1">
      <c r="A92" s="29" t="s">
        <v>101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94</v>
      </c>
      <c r="M92" s="30"/>
      <c r="N92" s="30" t="s">
        <v>157</v>
      </c>
      <c r="O92" s="30"/>
      <c r="P92" s="31">
        <f>197800</f>
        <v>197800</v>
      </c>
      <c r="Q92" s="31"/>
      <c r="R92" s="31"/>
      <c r="S92" s="31">
        <f>197727.05</f>
        <v>197727.05</v>
      </c>
      <c r="T92" s="31"/>
      <c r="U92" s="31"/>
      <c r="V92" s="31"/>
      <c r="W92" s="32">
        <f>72.95</f>
        <v>72.95</v>
      </c>
      <c r="X92" s="32"/>
    </row>
    <row r="93" spans="1:24" s="1" customFormat="1" ht="24" customHeight="1">
      <c r="A93" s="29" t="s">
        <v>101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94</v>
      </c>
      <c r="M93" s="30"/>
      <c r="N93" s="30" t="s">
        <v>158</v>
      </c>
      <c r="O93" s="30"/>
      <c r="P93" s="31">
        <f>52100</f>
        <v>52100</v>
      </c>
      <c r="Q93" s="31"/>
      <c r="R93" s="31"/>
      <c r="S93" s="33" t="s">
        <v>46</v>
      </c>
      <c r="T93" s="33"/>
      <c r="U93" s="33"/>
      <c r="V93" s="33"/>
      <c r="W93" s="32">
        <f>52100</f>
        <v>52100</v>
      </c>
      <c r="X93" s="32"/>
    </row>
    <row r="94" spans="1:24" s="1" customFormat="1" ht="33.75" customHeight="1">
      <c r="A94" s="29" t="s">
        <v>159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94</v>
      </c>
      <c r="M94" s="30"/>
      <c r="N94" s="30" t="s">
        <v>160</v>
      </c>
      <c r="O94" s="30"/>
      <c r="P94" s="31">
        <f>150000</f>
        <v>150000</v>
      </c>
      <c r="Q94" s="31"/>
      <c r="R94" s="31"/>
      <c r="S94" s="31">
        <f>150000</f>
        <v>150000</v>
      </c>
      <c r="T94" s="31"/>
      <c r="U94" s="31"/>
      <c r="V94" s="31"/>
      <c r="W94" s="32">
        <f>0</f>
        <v>0</v>
      </c>
      <c r="X94" s="32"/>
    </row>
    <row r="95" spans="1:24" s="1" customFormat="1" ht="24" customHeight="1">
      <c r="A95" s="29" t="s">
        <v>101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94</v>
      </c>
      <c r="M95" s="30"/>
      <c r="N95" s="30" t="s">
        <v>161</v>
      </c>
      <c r="O95" s="30"/>
      <c r="P95" s="31">
        <f>500000</f>
        <v>500000</v>
      </c>
      <c r="Q95" s="31"/>
      <c r="R95" s="31"/>
      <c r="S95" s="31">
        <f>499999.63</f>
        <v>499999.63</v>
      </c>
      <c r="T95" s="31"/>
      <c r="U95" s="31"/>
      <c r="V95" s="31"/>
      <c r="W95" s="32">
        <f>0.37</f>
        <v>0.37</v>
      </c>
      <c r="X95" s="32"/>
    </row>
    <row r="96" spans="1:24" s="1" customFormat="1" ht="24" customHeight="1">
      <c r="A96" s="29" t="s">
        <v>101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94</v>
      </c>
      <c r="M96" s="30"/>
      <c r="N96" s="30" t="s">
        <v>162</v>
      </c>
      <c r="O96" s="30"/>
      <c r="P96" s="31">
        <f>2310000</f>
        <v>2310000</v>
      </c>
      <c r="Q96" s="31"/>
      <c r="R96" s="31"/>
      <c r="S96" s="31">
        <f>2309662</f>
        <v>2309662</v>
      </c>
      <c r="T96" s="31"/>
      <c r="U96" s="31"/>
      <c r="V96" s="31"/>
      <c r="W96" s="32">
        <f>338</f>
        <v>338</v>
      </c>
      <c r="X96" s="32"/>
    </row>
    <row r="97" spans="1:24" s="1" customFormat="1" ht="24" customHeight="1">
      <c r="A97" s="29" t="s">
        <v>101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94</v>
      </c>
      <c r="M97" s="30"/>
      <c r="N97" s="30" t="s">
        <v>163</v>
      </c>
      <c r="O97" s="30"/>
      <c r="P97" s="31">
        <f>500000</f>
        <v>500000</v>
      </c>
      <c r="Q97" s="31"/>
      <c r="R97" s="31"/>
      <c r="S97" s="31">
        <f>491296.55</f>
        <v>491296.55</v>
      </c>
      <c r="T97" s="31"/>
      <c r="U97" s="31"/>
      <c r="V97" s="31"/>
      <c r="W97" s="32">
        <f>8703.45</f>
        <v>8703.45</v>
      </c>
      <c r="X97" s="32"/>
    </row>
    <row r="98" spans="1:24" s="1" customFormat="1" ht="24" customHeight="1">
      <c r="A98" s="29" t="s">
        <v>101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94</v>
      </c>
      <c r="M98" s="30"/>
      <c r="N98" s="30" t="s">
        <v>164</v>
      </c>
      <c r="O98" s="30"/>
      <c r="P98" s="31">
        <f>147700</f>
        <v>147700</v>
      </c>
      <c r="Q98" s="31"/>
      <c r="R98" s="31"/>
      <c r="S98" s="31">
        <f>147700</f>
        <v>147700</v>
      </c>
      <c r="T98" s="31"/>
      <c r="U98" s="31"/>
      <c r="V98" s="31"/>
      <c r="W98" s="32">
        <f>0</f>
        <v>0</v>
      </c>
      <c r="X98" s="32"/>
    </row>
    <row r="99" spans="1:24" s="1" customFormat="1" ht="24" customHeight="1">
      <c r="A99" s="29" t="s">
        <v>101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94</v>
      </c>
      <c r="M99" s="30"/>
      <c r="N99" s="30" t="s">
        <v>165</v>
      </c>
      <c r="O99" s="30"/>
      <c r="P99" s="31">
        <f>3312851.44</f>
        <v>3312851.44</v>
      </c>
      <c r="Q99" s="31"/>
      <c r="R99" s="31"/>
      <c r="S99" s="31">
        <f>3226944.35</f>
        <v>3226944.35</v>
      </c>
      <c r="T99" s="31"/>
      <c r="U99" s="31"/>
      <c r="V99" s="31"/>
      <c r="W99" s="32">
        <f>85907.09</f>
        <v>85907.09</v>
      </c>
      <c r="X99" s="32"/>
    </row>
    <row r="100" spans="1:24" s="1" customFormat="1" ht="24" customHeight="1">
      <c r="A100" s="29" t="s">
        <v>101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94</v>
      </c>
      <c r="M100" s="30"/>
      <c r="N100" s="30" t="s">
        <v>166</v>
      </c>
      <c r="O100" s="30"/>
      <c r="P100" s="31">
        <f>1000000</f>
        <v>1000000</v>
      </c>
      <c r="Q100" s="31"/>
      <c r="R100" s="31"/>
      <c r="S100" s="31">
        <f>997104.63</f>
        <v>997104.63</v>
      </c>
      <c r="T100" s="31"/>
      <c r="U100" s="31"/>
      <c r="V100" s="31"/>
      <c r="W100" s="32">
        <f>2895.37</f>
        <v>2895.37</v>
      </c>
      <c r="X100" s="32"/>
    </row>
    <row r="101" spans="1:24" s="1" customFormat="1" ht="24" customHeight="1">
      <c r="A101" s="29" t="s">
        <v>101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94</v>
      </c>
      <c r="M101" s="30"/>
      <c r="N101" s="30" t="s">
        <v>167</v>
      </c>
      <c r="O101" s="30"/>
      <c r="P101" s="31">
        <f>55100</f>
        <v>55100</v>
      </c>
      <c r="Q101" s="31"/>
      <c r="R101" s="31"/>
      <c r="S101" s="31">
        <f>55016.89</f>
        <v>55016.89</v>
      </c>
      <c r="T101" s="31"/>
      <c r="U101" s="31"/>
      <c r="V101" s="31"/>
      <c r="W101" s="32">
        <f>83.11</f>
        <v>83.11</v>
      </c>
      <c r="X101" s="32"/>
    </row>
    <row r="102" spans="1:24" s="1" customFormat="1" ht="24" customHeight="1">
      <c r="A102" s="29" t="s">
        <v>101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94</v>
      </c>
      <c r="M102" s="30"/>
      <c r="N102" s="30" t="s">
        <v>168</v>
      </c>
      <c r="O102" s="30"/>
      <c r="P102" s="31">
        <f>26000</f>
        <v>26000</v>
      </c>
      <c r="Q102" s="31"/>
      <c r="R102" s="31"/>
      <c r="S102" s="31">
        <f>25938.2</f>
        <v>25938.2</v>
      </c>
      <c r="T102" s="31"/>
      <c r="U102" s="31"/>
      <c r="V102" s="31"/>
      <c r="W102" s="32">
        <f>61.8</f>
        <v>61.8</v>
      </c>
      <c r="X102" s="32"/>
    </row>
    <row r="103" spans="1:24" s="1" customFormat="1" ht="33.75" customHeight="1">
      <c r="A103" s="29" t="s">
        <v>169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94</v>
      </c>
      <c r="M103" s="30"/>
      <c r="N103" s="30" t="s">
        <v>170</v>
      </c>
      <c r="O103" s="30"/>
      <c r="P103" s="31">
        <f>1961700</f>
        <v>1961700</v>
      </c>
      <c r="Q103" s="31"/>
      <c r="R103" s="31"/>
      <c r="S103" s="31">
        <f>1961700</f>
        <v>1961700</v>
      </c>
      <c r="T103" s="31"/>
      <c r="U103" s="31"/>
      <c r="V103" s="31"/>
      <c r="W103" s="32">
        <f aca="true" t="shared" si="2" ref="W103:W109">0</f>
        <v>0</v>
      </c>
      <c r="X103" s="32"/>
    </row>
    <row r="104" spans="1:24" s="1" customFormat="1" ht="33.75" customHeight="1">
      <c r="A104" s="29" t="s">
        <v>169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94</v>
      </c>
      <c r="M104" s="30"/>
      <c r="N104" s="30" t="s">
        <v>171</v>
      </c>
      <c r="O104" s="30"/>
      <c r="P104" s="31">
        <f>720000</f>
        <v>720000</v>
      </c>
      <c r="Q104" s="31"/>
      <c r="R104" s="31"/>
      <c r="S104" s="31">
        <f>720000</f>
        <v>720000</v>
      </c>
      <c r="T104" s="31"/>
      <c r="U104" s="31"/>
      <c r="V104" s="31"/>
      <c r="W104" s="32">
        <f t="shared" si="2"/>
        <v>0</v>
      </c>
      <c r="X104" s="32"/>
    </row>
    <row r="105" spans="1:24" s="1" customFormat="1" ht="33.75" customHeight="1">
      <c r="A105" s="29" t="s">
        <v>169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94</v>
      </c>
      <c r="M105" s="30"/>
      <c r="N105" s="30" t="s">
        <v>172</v>
      </c>
      <c r="O105" s="30"/>
      <c r="P105" s="31">
        <f>0</f>
        <v>0</v>
      </c>
      <c r="Q105" s="31"/>
      <c r="R105" s="31"/>
      <c r="S105" s="33" t="s">
        <v>46</v>
      </c>
      <c r="T105" s="33"/>
      <c r="U105" s="33"/>
      <c r="V105" s="33"/>
      <c r="W105" s="32">
        <f t="shared" si="2"/>
        <v>0</v>
      </c>
      <c r="X105" s="32"/>
    </row>
    <row r="106" spans="1:24" s="1" customFormat="1" ht="33.75" customHeight="1">
      <c r="A106" s="29" t="s">
        <v>169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94</v>
      </c>
      <c r="M106" s="30"/>
      <c r="N106" s="30" t="s">
        <v>173</v>
      </c>
      <c r="O106" s="30"/>
      <c r="P106" s="31">
        <f>0</f>
        <v>0</v>
      </c>
      <c r="Q106" s="31"/>
      <c r="R106" s="31"/>
      <c r="S106" s="33" t="s">
        <v>46</v>
      </c>
      <c r="T106" s="33"/>
      <c r="U106" s="33"/>
      <c r="V106" s="33"/>
      <c r="W106" s="32">
        <f t="shared" si="2"/>
        <v>0</v>
      </c>
      <c r="X106" s="32"/>
    </row>
    <row r="107" spans="1:24" s="1" customFormat="1" ht="33.75" customHeight="1">
      <c r="A107" s="29" t="s">
        <v>169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94</v>
      </c>
      <c r="M107" s="30"/>
      <c r="N107" s="30" t="s">
        <v>174</v>
      </c>
      <c r="O107" s="30"/>
      <c r="P107" s="31">
        <f>6928900</f>
        <v>6928900</v>
      </c>
      <c r="Q107" s="31"/>
      <c r="R107" s="31"/>
      <c r="S107" s="31">
        <f>6928900</f>
        <v>6928900</v>
      </c>
      <c r="T107" s="31"/>
      <c r="U107" s="31"/>
      <c r="V107" s="31"/>
      <c r="W107" s="32">
        <f t="shared" si="2"/>
        <v>0</v>
      </c>
      <c r="X107" s="32"/>
    </row>
    <row r="108" spans="1:24" s="1" customFormat="1" ht="33.75" customHeight="1">
      <c r="A108" s="29" t="s">
        <v>169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94</v>
      </c>
      <c r="M108" s="30"/>
      <c r="N108" s="30" t="s">
        <v>175</v>
      </c>
      <c r="O108" s="30"/>
      <c r="P108" s="31">
        <f>45000</f>
        <v>45000</v>
      </c>
      <c r="Q108" s="31"/>
      <c r="R108" s="31"/>
      <c r="S108" s="31">
        <f>45000</f>
        <v>45000</v>
      </c>
      <c r="T108" s="31"/>
      <c r="U108" s="31"/>
      <c r="V108" s="31"/>
      <c r="W108" s="32">
        <f t="shared" si="2"/>
        <v>0</v>
      </c>
      <c r="X108" s="32"/>
    </row>
    <row r="109" spans="1:24" s="1" customFormat="1" ht="24" customHeight="1">
      <c r="A109" s="29" t="s">
        <v>101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94</v>
      </c>
      <c r="M109" s="30"/>
      <c r="N109" s="30" t="s">
        <v>176</v>
      </c>
      <c r="O109" s="30"/>
      <c r="P109" s="31">
        <f>90800</f>
        <v>90800</v>
      </c>
      <c r="Q109" s="31"/>
      <c r="R109" s="31"/>
      <c r="S109" s="31">
        <f>90800</f>
        <v>90800</v>
      </c>
      <c r="T109" s="31"/>
      <c r="U109" s="31"/>
      <c r="V109" s="31"/>
      <c r="W109" s="32">
        <f t="shared" si="2"/>
        <v>0</v>
      </c>
      <c r="X109" s="32"/>
    </row>
    <row r="110" spans="1:24" s="1" customFormat="1" ht="24" customHeight="1">
      <c r="A110" s="29" t="s">
        <v>101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94</v>
      </c>
      <c r="M110" s="30"/>
      <c r="N110" s="30" t="s">
        <v>177</v>
      </c>
      <c r="O110" s="30"/>
      <c r="P110" s="31">
        <f>523300</f>
        <v>523300</v>
      </c>
      <c r="Q110" s="31"/>
      <c r="R110" s="31"/>
      <c r="S110" s="31">
        <f>523277.67</f>
        <v>523277.67</v>
      </c>
      <c r="T110" s="31"/>
      <c r="U110" s="31"/>
      <c r="V110" s="31"/>
      <c r="W110" s="32">
        <f>22.33</f>
        <v>22.33</v>
      </c>
      <c r="X110" s="32"/>
    </row>
    <row r="111" spans="1:24" s="1" customFormat="1" ht="24" customHeight="1">
      <c r="A111" s="29" t="s">
        <v>101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94</v>
      </c>
      <c r="M111" s="30"/>
      <c r="N111" s="30" t="s">
        <v>178</v>
      </c>
      <c r="O111" s="30"/>
      <c r="P111" s="31">
        <f>30000</f>
        <v>30000</v>
      </c>
      <c r="Q111" s="31"/>
      <c r="R111" s="31"/>
      <c r="S111" s="31">
        <f>29000</f>
        <v>29000</v>
      </c>
      <c r="T111" s="31"/>
      <c r="U111" s="31"/>
      <c r="V111" s="31"/>
      <c r="W111" s="32">
        <f>1000</f>
        <v>1000</v>
      </c>
      <c r="X111" s="32"/>
    </row>
    <row r="112" spans="1:24" s="1" customFormat="1" ht="24" customHeight="1">
      <c r="A112" s="29" t="s">
        <v>101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94</v>
      </c>
      <c r="M112" s="30"/>
      <c r="N112" s="30" t="s">
        <v>179</v>
      </c>
      <c r="O112" s="30"/>
      <c r="P112" s="31">
        <f>127400</f>
        <v>127400</v>
      </c>
      <c r="Q112" s="31"/>
      <c r="R112" s="31"/>
      <c r="S112" s="31">
        <f>127325</f>
        <v>127325</v>
      </c>
      <c r="T112" s="31"/>
      <c r="U112" s="31"/>
      <c r="V112" s="31"/>
      <c r="W112" s="32">
        <f>75</f>
        <v>75</v>
      </c>
      <c r="X112" s="32"/>
    </row>
    <row r="113" spans="1:24" s="1" customFormat="1" ht="13.5" customHeight="1">
      <c r="A113" s="29" t="s">
        <v>180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94</v>
      </c>
      <c r="M113" s="30"/>
      <c r="N113" s="30" t="s">
        <v>181</v>
      </c>
      <c r="O113" s="30"/>
      <c r="P113" s="31">
        <f>126400</f>
        <v>126400</v>
      </c>
      <c r="Q113" s="31"/>
      <c r="R113" s="31"/>
      <c r="S113" s="31">
        <f>126400</f>
        <v>126400</v>
      </c>
      <c r="T113" s="31"/>
      <c r="U113" s="31"/>
      <c r="V113" s="31"/>
      <c r="W113" s="32">
        <f>0</f>
        <v>0</v>
      </c>
      <c r="X113" s="32"/>
    </row>
    <row r="114" spans="1:24" s="1" customFormat="1" ht="24" customHeight="1">
      <c r="A114" s="29" t="s">
        <v>182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94</v>
      </c>
      <c r="M114" s="30"/>
      <c r="N114" s="30" t="s">
        <v>183</v>
      </c>
      <c r="O114" s="30"/>
      <c r="P114" s="33" t="s">
        <v>46</v>
      </c>
      <c r="Q114" s="33"/>
      <c r="R114" s="33"/>
      <c r="S114" s="31">
        <f>0</f>
        <v>0</v>
      </c>
      <c r="T114" s="31"/>
      <c r="U114" s="31"/>
      <c r="V114" s="31"/>
      <c r="W114" s="32">
        <f>0</f>
        <v>0</v>
      </c>
      <c r="X114" s="32"/>
    </row>
    <row r="115" spans="1:24" s="1" customFormat="1" ht="33.75" customHeight="1">
      <c r="A115" s="29" t="s">
        <v>169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94</v>
      </c>
      <c r="M115" s="30"/>
      <c r="N115" s="30" t="s">
        <v>184</v>
      </c>
      <c r="O115" s="30"/>
      <c r="P115" s="31">
        <f>1300000</f>
        <v>1300000</v>
      </c>
      <c r="Q115" s="31"/>
      <c r="R115" s="31"/>
      <c r="S115" s="31">
        <f>1300000</f>
        <v>1300000</v>
      </c>
      <c r="T115" s="31"/>
      <c r="U115" s="31"/>
      <c r="V115" s="31"/>
      <c r="W115" s="32">
        <f>0</f>
        <v>0</v>
      </c>
      <c r="X115" s="32"/>
    </row>
    <row r="116" spans="1:24" s="1" customFormat="1" ht="24" customHeight="1">
      <c r="A116" s="29" t="s">
        <v>101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94</v>
      </c>
      <c r="M116" s="30"/>
      <c r="N116" s="30" t="s">
        <v>185</v>
      </c>
      <c r="O116" s="30"/>
      <c r="P116" s="31">
        <f>447700</f>
        <v>447700</v>
      </c>
      <c r="Q116" s="31"/>
      <c r="R116" s="31"/>
      <c r="S116" s="31">
        <f>430234.7</f>
        <v>430234.7</v>
      </c>
      <c r="T116" s="31"/>
      <c r="U116" s="31"/>
      <c r="V116" s="31"/>
      <c r="W116" s="32">
        <f>17465.3</f>
        <v>17465.3</v>
      </c>
      <c r="X116" s="32"/>
    </row>
    <row r="117" spans="1:24" s="1" customFormat="1" ht="13.5" customHeight="1">
      <c r="A117" s="29" t="s">
        <v>186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94</v>
      </c>
      <c r="M117" s="30"/>
      <c r="N117" s="30" t="s">
        <v>187</v>
      </c>
      <c r="O117" s="30"/>
      <c r="P117" s="31">
        <f>100</f>
        <v>100</v>
      </c>
      <c r="Q117" s="31"/>
      <c r="R117" s="31"/>
      <c r="S117" s="31">
        <f>47.17</f>
        <v>47.17</v>
      </c>
      <c r="T117" s="31"/>
      <c r="U117" s="31"/>
      <c r="V117" s="31"/>
      <c r="W117" s="32">
        <f>52.83</f>
        <v>52.83</v>
      </c>
      <c r="X117" s="32"/>
    </row>
    <row r="118" spans="1:24" s="1" customFormat="1" ht="15" customHeight="1">
      <c r="A118" s="34" t="s">
        <v>188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5" t="s">
        <v>189</v>
      </c>
      <c r="M118" s="35"/>
      <c r="N118" s="35" t="s">
        <v>37</v>
      </c>
      <c r="O118" s="35"/>
      <c r="P118" s="36">
        <f>-1331551.44</f>
        <v>-1331551.44</v>
      </c>
      <c r="Q118" s="36"/>
      <c r="R118" s="36"/>
      <c r="S118" s="36">
        <f>-203472.17</f>
        <v>-203472.17</v>
      </c>
      <c r="T118" s="36"/>
      <c r="U118" s="36"/>
      <c r="V118" s="36"/>
      <c r="W118" s="37" t="s">
        <v>37</v>
      </c>
      <c r="X118" s="3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12" t="s">
        <v>190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s="1" customFormat="1" ht="45.75" customHeight="1">
      <c r="A121" s="13" t="s">
        <v>23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 t="s">
        <v>24</v>
      </c>
      <c r="M121" s="13"/>
      <c r="N121" s="13" t="s">
        <v>191</v>
      </c>
      <c r="O121" s="13"/>
      <c r="P121" s="14" t="s">
        <v>26</v>
      </c>
      <c r="Q121" s="14"/>
      <c r="R121" s="14"/>
      <c r="S121" s="14" t="s">
        <v>27</v>
      </c>
      <c r="T121" s="14"/>
      <c r="U121" s="14"/>
      <c r="V121" s="14"/>
      <c r="W121" s="15" t="s">
        <v>28</v>
      </c>
      <c r="X121" s="15"/>
    </row>
    <row r="122" spans="1:24" s="1" customFormat="1" ht="12.75" customHeight="1">
      <c r="A122" s="16" t="s">
        <v>29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 t="s">
        <v>30</v>
      </c>
      <c r="M122" s="16"/>
      <c r="N122" s="16" t="s">
        <v>31</v>
      </c>
      <c r="O122" s="16"/>
      <c r="P122" s="17" t="s">
        <v>32</v>
      </c>
      <c r="Q122" s="17"/>
      <c r="R122" s="17"/>
      <c r="S122" s="17" t="s">
        <v>33</v>
      </c>
      <c r="T122" s="17"/>
      <c r="U122" s="17"/>
      <c r="V122" s="17"/>
      <c r="W122" s="18" t="s">
        <v>34</v>
      </c>
      <c r="X122" s="18"/>
    </row>
    <row r="123" spans="1:24" s="1" customFormat="1" ht="13.5" customHeight="1">
      <c r="A123" s="19" t="s">
        <v>192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 t="s">
        <v>193</v>
      </c>
      <c r="M123" s="20"/>
      <c r="N123" s="20" t="s">
        <v>37</v>
      </c>
      <c r="O123" s="20"/>
      <c r="P123" s="38">
        <f>1331551.44</f>
        <v>1331551.44</v>
      </c>
      <c r="Q123" s="38"/>
      <c r="R123" s="38"/>
      <c r="S123" s="21">
        <f>203472.17</f>
        <v>203472.17</v>
      </c>
      <c r="T123" s="21"/>
      <c r="U123" s="21"/>
      <c r="V123" s="21"/>
      <c r="W123" s="39">
        <f>1128079.27</f>
        <v>1128079.27</v>
      </c>
      <c r="X123" s="39"/>
    </row>
    <row r="124" spans="1:24" s="1" customFormat="1" ht="13.5" customHeight="1">
      <c r="A124" s="40" t="s">
        <v>194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 t="s">
        <v>13</v>
      </c>
      <c r="M124" s="41"/>
      <c r="N124" s="41" t="s">
        <v>13</v>
      </c>
      <c r="O124" s="41"/>
      <c r="P124" s="42" t="s">
        <v>13</v>
      </c>
      <c r="Q124" s="42"/>
      <c r="R124" s="42"/>
      <c r="S124" s="43" t="s">
        <v>13</v>
      </c>
      <c r="T124" s="43"/>
      <c r="U124" s="43"/>
      <c r="V124" s="43"/>
      <c r="W124" s="44" t="s">
        <v>13</v>
      </c>
      <c r="X124" s="44"/>
    </row>
    <row r="125" spans="1:24" s="1" customFormat="1" ht="13.5" customHeight="1">
      <c r="A125" s="23" t="s">
        <v>195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45" t="s">
        <v>196</v>
      </c>
      <c r="M125" s="45"/>
      <c r="N125" s="24" t="s">
        <v>37</v>
      </c>
      <c r="O125" s="24"/>
      <c r="P125" s="46">
        <f>-104000</f>
        <v>-104000</v>
      </c>
      <c r="Q125" s="46"/>
      <c r="R125" s="46"/>
      <c r="S125" s="25">
        <f>-104000</f>
        <v>-104000</v>
      </c>
      <c r="T125" s="25"/>
      <c r="U125" s="25"/>
      <c r="V125" s="25"/>
      <c r="W125" s="47">
        <f>0</f>
        <v>0</v>
      </c>
      <c r="X125" s="47"/>
    </row>
    <row r="126" spans="1:24" s="1" customFormat="1" ht="24" customHeight="1">
      <c r="A126" s="29" t="s">
        <v>197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196</v>
      </c>
      <c r="M126" s="30"/>
      <c r="N126" s="30" t="s">
        <v>198</v>
      </c>
      <c r="O126" s="30"/>
      <c r="P126" s="48">
        <f>-104000</f>
        <v>-104000</v>
      </c>
      <c r="Q126" s="48"/>
      <c r="R126" s="48"/>
      <c r="S126" s="31">
        <f>-104000</f>
        <v>-104000</v>
      </c>
      <c r="T126" s="31"/>
      <c r="U126" s="31"/>
      <c r="V126" s="31"/>
      <c r="W126" s="49">
        <f>0</f>
        <v>0</v>
      </c>
      <c r="X126" s="49"/>
    </row>
    <row r="127" spans="1:24" s="1" customFormat="1" ht="0.75" customHeight="1">
      <c r="A127" s="50" t="s">
        <v>13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s="1" customFormat="1" ht="13.5" customHeight="1">
      <c r="A128" s="29" t="s">
        <v>199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41" t="s">
        <v>200</v>
      </c>
      <c r="M128" s="41"/>
      <c r="N128" s="41" t="s">
        <v>37</v>
      </c>
      <c r="O128" s="41"/>
      <c r="P128" s="42" t="s">
        <v>46</v>
      </c>
      <c r="Q128" s="42"/>
      <c r="R128" s="42"/>
      <c r="S128" s="33" t="s">
        <v>46</v>
      </c>
      <c r="T128" s="33"/>
      <c r="U128" s="33"/>
      <c r="V128" s="33"/>
      <c r="W128" s="44" t="s">
        <v>46</v>
      </c>
      <c r="X128" s="44"/>
    </row>
    <row r="129" spans="1:24" s="1" customFormat="1" ht="13.5" customHeight="1">
      <c r="A129" s="29" t="s">
        <v>13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200</v>
      </c>
      <c r="M129" s="30"/>
      <c r="N129" s="30" t="s">
        <v>13</v>
      </c>
      <c r="O129" s="30"/>
      <c r="P129" s="51" t="s">
        <v>46</v>
      </c>
      <c r="Q129" s="51"/>
      <c r="R129" s="51"/>
      <c r="S129" s="33" t="s">
        <v>46</v>
      </c>
      <c r="T129" s="33"/>
      <c r="U129" s="33"/>
      <c r="V129" s="33"/>
      <c r="W129" s="52" t="s">
        <v>46</v>
      </c>
      <c r="X129" s="52"/>
    </row>
    <row r="130" spans="1:24" s="1" customFormat="1" ht="13.5" customHeight="1">
      <c r="A130" s="29" t="s">
        <v>201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202</v>
      </c>
      <c r="M130" s="30"/>
      <c r="N130" s="30" t="s">
        <v>203</v>
      </c>
      <c r="O130" s="30"/>
      <c r="P130" s="48">
        <f>1435551.44</f>
        <v>1435551.44</v>
      </c>
      <c r="Q130" s="48"/>
      <c r="R130" s="48"/>
      <c r="S130" s="31">
        <f>307472.17</f>
        <v>307472.17</v>
      </c>
      <c r="T130" s="31"/>
      <c r="U130" s="31"/>
      <c r="V130" s="31"/>
      <c r="W130" s="49">
        <f>1128079.27</f>
        <v>1128079.27</v>
      </c>
      <c r="X130" s="49"/>
    </row>
    <row r="131" spans="1:24" s="1" customFormat="1" ht="13.5" customHeight="1">
      <c r="A131" s="29" t="s">
        <v>204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205</v>
      </c>
      <c r="M131" s="30"/>
      <c r="N131" s="30" t="s">
        <v>206</v>
      </c>
      <c r="O131" s="30"/>
      <c r="P131" s="48">
        <f>-49437300</f>
        <v>-49437300</v>
      </c>
      <c r="Q131" s="48"/>
      <c r="R131" s="48"/>
      <c r="S131" s="31">
        <f>-51716976.57</f>
        <v>-51716976.57</v>
      </c>
      <c r="T131" s="31"/>
      <c r="U131" s="31"/>
      <c r="V131" s="31"/>
      <c r="W131" s="53" t="s">
        <v>37</v>
      </c>
      <c r="X131" s="53"/>
    </row>
    <row r="132" spans="1:24" s="1" customFormat="1" ht="13.5" customHeight="1">
      <c r="A132" s="29" t="s">
        <v>207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208</v>
      </c>
      <c r="M132" s="30"/>
      <c r="N132" s="30" t="s">
        <v>209</v>
      </c>
      <c r="O132" s="30"/>
      <c r="P132" s="48">
        <f>50872851.44</f>
        <v>50872851.44</v>
      </c>
      <c r="Q132" s="48"/>
      <c r="R132" s="48"/>
      <c r="S132" s="31">
        <f>52024448.74</f>
        <v>52024448.74</v>
      </c>
      <c r="T132" s="31"/>
      <c r="U132" s="31"/>
      <c r="V132" s="31"/>
      <c r="W132" s="53" t="s">
        <v>37</v>
      </c>
      <c r="X132" s="53"/>
    </row>
    <row r="133" spans="1:24" s="1" customFormat="1" ht="13.5" customHeight="1">
      <c r="A133" s="55" t="s">
        <v>13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:24" s="1" customFormat="1" ht="13.5" customHeight="1">
      <c r="A134" s="7" t="s">
        <v>13</v>
      </c>
      <c r="B134" s="7"/>
      <c r="C134" s="7"/>
      <c r="D134" s="7"/>
      <c r="E134" s="7"/>
      <c r="F134" s="7"/>
      <c r="G134" s="7"/>
      <c r="H134" s="7"/>
      <c r="I134" s="54" t="s">
        <v>13</v>
      </c>
      <c r="J134" s="54"/>
      <c r="K134" s="54"/>
      <c r="L134" s="54"/>
      <c r="M134" s="54"/>
      <c r="N134" s="54" t="s">
        <v>210</v>
      </c>
      <c r="O134" s="54"/>
      <c r="P134" s="54"/>
      <c r="Q134" s="54"/>
      <c r="R134" s="7" t="s">
        <v>13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13</v>
      </c>
      <c r="B135" s="7"/>
      <c r="C135" s="7"/>
      <c r="D135" s="7"/>
      <c r="E135" s="7"/>
      <c r="F135" s="7"/>
      <c r="G135" s="7"/>
      <c r="H135" s="7"/>
      <c r="I135" s="10" t="s">
        <v>13</v>
      </c>
      <c r="J135" s="56" t="s">
        <v>211</v>
      </c>
      <c r="K135" s="56"/>
      <c r="L135" s="56"/>
      <c r="M135" s="10" t="s">
        <v>13</v>
      </c>
      <c r="N135" s="10" t="s">
        <v>13</v>
      </c>
      <c r="O135" s="56" t="s">
        <v>212</v>
      </c>
      <c r="P135" s="56"/>
      <c r="Q135" s="7" t="s">
        <v>13</v>
      </c>
      <c r="R135" s="7"/>
      <c r="S135" s="7"/>
      <c r="T135" s="7"/>
      <c r="U135" s="7"/>
      <c r="V135" s="7"/>
      <c r="W135" s="7"/>
      <c r="X135" s="7"/>
    </row>
    <row r="136" spans="1:24" s="1" customFormat="1" ht="7.5" customHeight="1">
      <c r="A136" s="7" t="s">
        <v>13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13</v>
      </c>
      <c r="B137" s="7"/>
      <c r="C137" s="7"/>
      <c r="D137" s="7"/>
      <c r="E137" s="7"/>
      <c r="F137" s="7"/>
      <c r="G137" s="7"/>
      <c r="H137" s="7"/>
      <c r="I137" s="54" t="s">
        <v>13</v>
      </c>
      <c r="J137" s="54"/>
      <c r="K137" s="54"/>
      <c r="L137" s="54"/>
      <c r="M137" s="54"/>
      <c r="N137" s="54" t="s">
        <v>213</v>
      </c>
      <c r="O137" s="54"/>
      <c r="P137" s="54"/>
      <c r="Q137" s="54"/>
      <c r="R137" s="7" t="s">
        <v>13</v>
      </c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13</v>
      </c>
      <c r="B138" s="7"/>
      <c r="C138" s="7"/>
      <c r="D138" s="7"/>
      <c r="E138" s="7"/>
      <c r="F138" s="7"/>
      <c r="G138" s="7"/>
      <c r="H138" s="7"/>
      <c r="I138" s="10" t="s">
        <v>13</v>
      </c>
      <c r="J138" s="56" t="s">
        <v>211</v>
      </c>
      <c r="K138" s="56"/>
      <c r="L138" s="56"/>
      <c r="M138" s="10" t="s">
        <v>13</v>
      </c>
      <c r="N138" s="10" t="s">
        <v>13</v>
      </c>
      <c r="O138" s="56" t="s">
        <v>212</v>
      </c>
      <c r="P138" s="56"/>
      <c r="Q138" s="7" t="s">
        <v>13</v>
      </c>
      <c r="R138" s="7"/>
      <c r="S138" s="7"/>
      <c r="T138" s="7"/>
      <c r="U138" s="7"/>
      <c r="V138" s="7"/>
      <c r="W138" s="7"/>
      <c r="X138" s="7"/>
    </row>
    <row r="139" spans="1:24" s="1" customFormat="1" ht="7.5" customHeight="1">
      <c r="A139" s="7" t="s">
        <v>13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214</v>
      </c>
      <c r="B140" s="7"/>
      <c r="C140" s="54" t="s">
        <v>13</v>
      </c>
      <c r="D140" s="54"/>
      <c r="E140" s="54"/>
      <c r="F140" s="54"/>
      <c r="G140" s="54"/>
      <c r="H140" s="54"/>
      <c r="I140" s="54" t="s">
        <v>13</v>
      </c>
      <c r="J140" s="54"/>
      <c r="K140" s="54"/>
      <c r="L140" s="54"/>
      <c r="M140" s="54"/>
      <c r="N140" s="54" t="s">
        <v>215</v>
      </c>
      <c r="O140" s="54"/>
      <c r="P140" s="54"/>
      <c r="Q140" s="54"/>
      <c r="R140" s="7" t="s">
        <v>13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13</v>
      </c>
      <c r="B141" s="7"/>
      <c r="C141" s="10" t="s">
        <v>13</v>
      </c>
      <c r="D141" s="56" t="s">
        <v>216</v>
      </c>
      <c r="E141" s="56"/>
      <c r="F141" s="56"/>
      <c r="G141" s="56"/>
      <c r="H141" s="10" t="s">
        <v>13</v>
      </c>
      <c r="I141" s="10" t="s">
        <v>13</v>
      </c>
      <c r="J141" s="56" t="s">
        <v>211</v>
      </c>
      <c r="K141" s="56"/>
      <c r="L141" s="56"/>
      <c r="M141" s="10" t="s">
        <v>13</v>
      </c>
      <c r="N141" s="10" t="s">
        <v>13</v>
      </c>
      <c r="O141" s="56" t="s">
        <v>212</v>
      </c>
      <c r="P141" s="56"/>
      <c r="Q141" s="7" t="s">
        <v>13</v>
      </c>
      <c r="R141" s="7"/>
      <c r="S141" s="7"/>
      <c r="T141" s="7"/>
      <c r="U141" s="7"/>
      <c r="V141" s="7"/>
      <c r="W141" s="7"/>
      <c r="X141" s="7"/>
    </row>
    <row r="142" spans="1:24" s="1" customFormat="1" ht="15.75" customHeight="1">
      <c r="A142" s="7" t="s">
        <v>13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57" t="s">
        <v>217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7" t="s">
        <v>13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4" t="s">
        <v>218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</sheetData>
  <sheetProtection/>
  <mergeCells count="762">
    <mergeCell ref="A143:J143"/>
    <mergeCell ref="K143:X143"/>
    <mergeCell ref="A144:X144"/>
    <mergeCell ref="A141:B141"/>
    <mergeCell ref="D141:G141"/>
    <mergeCell ref="J141:L141"/>
    <mergeCell ref="O141:P141"/>
    <mergeCell ref="Q141:X141"/>
    <mergeCell ref="A142:X142"/>
    <mergeCell ref="A139:X139"/>
    <mergeCell ref="A140:B140"/>
    <mergeCell ref="C140:H140"/>
    <mergeCell ref="I140:M140"/>
    <mergeCell ref="N140:Q140"/>
    <mergeCell ref="R140:X140"/>
    <mergeCell ref="A136:X136"/>
    <mergeCell ref="A137:H137"/>
    <mergeCell ref="I137:M137"/>
    <mergeCell ref="N137:Q137"/>
    <mergeCell ref="R137:X137"/>
    <mergeCell ref="A138:H138"/>
    <mergeCell ref="J138:L138"/>
    <mergeCell ref="O138:P138"/>
    <mergeCell ref="Q138:X138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7:X127"/>
    <mergeCell ref="A128:K128"/>
    <mergeCell ref="L128:M128"/>
    <mergeCell ref="N128:O128"/>
    <mergeCell ref="P128:R128"/>
    <mergeCell ref="S128:V128"/>
    <mergeCell ref="W128:X128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19:X119"/>
    <mergeCell ref="A120:X120"/>
    <mergeCell ref="A121:K121"/>
    <mergeCell ref="L121:M121"/>
    <mergeCell ref="N121:O121"/>
    <mergeCell ref="P121:R121"/>
    <mergeCell ref="S121:V121"/>
    <mergeCell ref="W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39:X39"/>
    <mergeCell ref="A40:X40"/>
    <mergeCell ref="A41:K41"/>
    <mergeCell ref="L41:M41"/>
    <mergeCell ref="N41:O41"/>
    <mergeCell ref="P41:R41"/>
    <mergeCell ref="S41:V41"/>
    <mergeCell ref="W41:X41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2017-06-13T07:45:27Z</dcterms:created>
  <dcterms:modified xsi:type="dcterms:W3CDTF">2017-06-13T07:45:27Z</dcterms:modified>
  <cp:category/>
  <cp:version/>
  <cp:contentType/>
  <cp:contentStatus/>
</cp:coreProperties>
</file>