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<sst xmlns="http://schemas.openxmlformats.org/spreadsheetml/2006/main" count="590" uniqueCount="244">
  <si>
    <t>ОТЧЕТ ОБ ИСПОЛНЕНИИ БЮДЖЕТА</t>
  </si>
  <si>
    <t>КОДЫ</t>
  </si>
  <si>
    <t xml:space="preserve">Форма по ОКУД </t>
  </si>
  <si>
    <t>0503117</t>
  </si>
  <si>
    <t>на 1 декабря 2015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</si>
  <si>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</si>
  <si>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</si>
  <si>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</si>
  <si>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</si>
  <si>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</si>
  <si>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</si>
  <si>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</si>
  <si>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</si>
  <si>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/>
  </si>
  <si>
    <t xml:space="preserve">по ОКТМО </t>
  </si>
  <si>
    <t>03614422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</si>
  <si>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</si>
  <si>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</si>
  <si>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</si>
  <si>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</si>
  <si>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</si>
  <si>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</si>
  <si>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</si>
  <si>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</si>
  <si>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</si>
  <si>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</si>
  <si>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</si>
  <si>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</si>
  <si>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</si>
  <si>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</si>
  <si>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</si>
  <si>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</si>
  <si>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</si>
  <si>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</si>
  <si>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</si>
  <si>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</si>
  <si>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</si>
  <si>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</si>
  <si>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</si>
  <si>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</si>
  <si>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</si>
  <si>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</si>
  <si>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</si>
  <si>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</si>
  <si>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</si>
  <si>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</si>
  <si>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</si>
  <si>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</si>
  <si>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</si>
  <si>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</si>
  <si>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</si>
  <si>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</si>
  <si>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</si>
  <si>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</si>
  <si>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</si>
  <si>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</si>
  <si>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</si>
  <si>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</si>
  <si>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</si>
  <si>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</si>
  <si>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</si>
  <si>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</si>
  <si>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</si>
  <si>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</si>
  <si>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</si>
  <si>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</si>
  <si>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182 11690050 10 0000 140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</si>
  <si>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</si>
  <si>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821 11651040 02 0000 140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</si>
  <si>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</si>
  <si>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902 11105013 10 0000 120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</si>
  <si>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</si>
  <si>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902 11406013 10 0000 430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</si>
  <si>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</si>
  <si>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</si>
  <si>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Невыясненные поступления, зачисляемые в бюджеты сельских поселений</t>
  </si>
  <si>
    <t>992 11701050 10 0000 180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</si>
  <si>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</si>
  <si>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</si>
  <si>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</t>
  </si>
  <si>
    <t>992 20201001 10 0000 151</t>
  </si>
  <si>
    <t>Прочие субсидии бюджетам сельских поселений</t>
  </si>
  <si>
    <t>992 20202999 10 0000 151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</si>
  <si>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</si>
  <si>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</si>
  <si>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</si>
  <si>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</si>
  <si>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</si>
  <si>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</si>
  <si>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</si>
  <si>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</si>
  <si>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</si>
  <si>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992 0102 5010019 121 211</t>
  </si>
  <si>
    <t>Начисления на выплаты по оплате труда</t>
  </si>
  <si>
    <t>992 0102 5010019 121 213</t>
  </si>
  <si>
    <t>992 0104 5110019 121 211</t>
  </si>
  <si>
    <t>992 0104 5110019 121 213</t>
  </si>
  <si>
    <t>Услуги связи</t>
  </si>
  <si>
    <t>992 0104 5110019 244 221</t>
  </si>
  <si>
    <t>Работы, услуги по содержанию имущества</t>
  </si>
  <si>
    <t>992 0104 5110019 244 225</t>
  </si>
  <si>
    <t>Прочие работы, услуги</t>
  </si>
  <si>
    <t>992 0104 5110019 244 226</t>
  </si>
  <si>
    <t>Увеличение стоимости основных средств</t>
  </si>
  <si>
    <t>992 0104 5110019 244 310</t>
  </si>
  <si>
    <t>Увеличение стоимости материальных запасов</t>
  </si>
  <si>
    <t>992 0104 5110019 244 340</t>
  </si>
  <si>
    <t>Прочие расходы</t>
  </si>
  <si>
    <t>992 0104 5110019 831 290</t>
  </si>
  <si>
    <t>992 0104 5110019 851 290</t>
  </si>
  <si>
    <t>992 0104 5110019 852 290</t>
  </si>
  <si>
    <t>992 0104 5110019 853 290</t>
  </si>
  <si>
    <t>992 0104 5126019 244 340</t>
  </si>
  <si>
    <t>Перечисления другим бюджетам бюджетной системы Российской Федерации</t>
  </si>
  <si>
    <t>992 0106 7590019 540 251</t>
  </si>
  <si>
    <t>992 0111 5152059 870 290</t>
  </si>
  <si>
    <t>992 0113 0100000 244 226</t>
  </si>
  <si>
    <t>992 0113 0200000 244 290</t>
  </si>
  <si>
    <t>992 0113 0350010 244 226</t>
  </si>
  <si>
    <t>992 0113 5180059 111 211</t>
  </si>
  <si>
    <t>992 0113 5180059 111 213</t>
  </si>
  <si>
    <t>992 0113 5180059 244 221</t>
  </si>
  <si>
    <t>Коммунальные услуги</t>
  </si>
  <si>
    <t>992 0113 5180059 244 223</t>
  </si>
  <si>
    <t>992 0113 5180059 244 225</t>
  </si>
  <si>
    <t>992 0113 5180059 244 226</t>
  </si>
  <si>
    <t>992 0113 5180059 244 310</t>
  </si>
  <si>
    <t>992 0113 5180059 244 340</t>
  </si>
  <si>
    <t>992 0113 5180059 851 290</t>
  </si>
  <si>
    <t>992 0113 5180059 852 290</t>
  </si>
  <si>
    <t>992 0113 5211039 244 226</t>
  </si>
  <si>
    <t>992 0203 5525118 121 211</t>
  </si>
  <si>
    <t>992 0203 5525118 121 213</t>
  </si>
  <si>
    <t>992 0203 5525118 244 310</t>
  </si>
  <si>
    <t>992 0203 5528118 121 211</t>
  </si>
  <si>
    <t>992 0309 0310001 244 225</t>
  </si>
  <si>
    <t>992 0309 0310001 244 340</t>
  </si>
  <si>
    <t>992 0309 0310002 244 226</t>
  </si>
  <si>
    <t>992 0309 0310003 244 226</t>
  </si>
  <si>
    <t>992 0309 0330007 244 340</t>
  </si>
  <si>
    <t>992 0309 0330008 244 340</t>
  </si>
  <si>
    <t>992 0309 0340009 244 226</t>
  </si>
  <si>
    <t>992 0309 5690059 540 251</t>
  </si>
  <si>
    <t>992 0314 0320004 244 226</t>
  </si>
  <si>
    <t>992 0314 0320005 244 226</t>
  </si>
  <si>
    <t>992 0314 0320006 244 225</t>
  </si>
  <si>
    <t>992 0314 0320006 244 340</t>
  </si>
  <si>
    <t>992 0409 0410040 244 225</t>
  </si>
  <si>
    <t>992 0409 0410040 244 226</t>
  </si>
  <si>
    <t>992 0409 0410042 244 225</t>
  </si>
  <si>
    <t>992 0409 0410042 244 226</t>
  </si>
  <si>
    <t>992 0409 0410042 244 310</t>
  </si>
  <si>
    <t>992 0409 0410042 244 340</t>
  </si>
  <si>
    <t>992 0409 0416027 244 225</t>
  </si>
  <si>
    <t>992 0409 0420013 244 225</t>
  </si>
  <si>
    <t>992 0409 0420013 244 226</t>
  </si>
  <si>
    <t>992 0409 0420013 244 310</t>
  </si>
  <si>
    <t>992 0409 0420013 244 340</t>
  </si>
  <si>
    <t>992 0409 0420013 831 290</t>
  </si>
  <si>
    <t>992 0409 0420014 244 340</t>
  </si>
  <si>
    <t>992 0412 0500015 244 226</t>
  </si>
  <si>
    <t>992 0412 0600016 244 290</t>
  </si>
  <si>
    <t>992 0412 0600016 244 340</t>
  </si>
  <si>
    <t>992 0502 0700017 244 225</t>
  </si>
  <si>
    <t>992 0502 0700018 244 310</t>
  </si>
  <si>
    <t>992 0502 0700018 831 290</t>
  </si>
  <si>
    <t>992 0502 0700041 244 225</t>
  </si>
  <si>
    <t>Безвозмездные перечисления организациям, за исключением государственных и муниципальных организаций</t>
  </si>
  <si>
    <t>992 0502 0700041 810 242</t>
  </si>
  <si>
    <t>992 0502 0700046 244 226</t>
  </si>
  <si>
    <t>992 0503 0800020 244 223</t>
  </si>
  <si>
    <t>992 0503 0800020 244 225</t>
  </si>
  <si>
    <t>992 0503 0800020 244 340</t>
  </si>
  <si>
    <t>992 0503 0800021 244 225</t>
  </si>
  <si>
    <t>992 0503 0800022 244 340</t>
  </si>
  <si>
    <t>992 0503 0800023 244 225</t>
  </si>
  <si>
    <t>992 0503 0800023 244 226</t>
  </si>
  <si>
    <t>992 0503 0800023 244 310</t>
  </si>
  <si>
    <t>992 0503 0800023 244 340</t>
  </si>
  <si>
    <t>992 0503 0800023 831 290</t>
  </si>
  <si>
    <t>992 0503 1500043 244 225</t>
  </si>
  <si>
    <t>992 0707 0900024 244 226</t>
  </si>
  <si>
    <t>992 0707 0900025 244 226</t>
  </si>
  <si>
    <t>992 0707 0900025 244 310</t>
  </si>
  <si>
    <t>992 0801 1010026 244 225</t>
  </si>
  <si>
    <t>992 0801 1010026 244 226</t>
  </si>
  <si>
    <t>992 0801 1010026 244 310</t>
  </si>
  <si>
    <t>992 0801 1010026 244 340</t>
  </si>
  <si>
    <t>Безвозмездные перечисления государственным и муниципальным организациям</t>
  </si>
  <si>
    <t>992 0801 1020027 612 241</t>
  </si>
  <si>
    <t>992 0801 1020028 611 241</t>
  </si>
  <si>
    <t>992 0801 1020029 611 241</t>
  </si>
  <si>
    <t>992 0801 1020029 612 241</t>
  </si>
  <si>
    <t>992 0801 1026012 612 241</t>
  </si>
  <si>
    <t>992 0801 1030030 611 241</t>
  </si>
  <si>
    <t>992 0801 1030031 611 241</t>
  </si>
  <si>
    <t>992 0804 1100032 244 226</t>
  </si>
  <si>
    <t>992 0804 1100032 244 290</t>
  </si>
  <si>
    <t>992 0804 1100032 244 340</t>
  </si>
  <si>
    <t>992 0804 1100033 244 226</t>
  </si>
  <si>
    <t>992 0804 1100033 244 290</t>
  </si>
  <si>
    <t>992 0804 1100033 244 340</t>
  </si>
  <si>
    <t>992 0804 1100034 244 340</t>
  </si>
  <si>
    <t>992 0804 1100035 244 290</t>
  </si>
  <si>
    <t>992 0804 1100035 244 340</t>
  </si>
  <si>
    <t>Пенсии, пособия, выплачиваемые организациями сектора государственного управления</t>
  </si>
  <si>
    <t>992 1001 1200036 313 263</t>
  </si>
  <si>
    <t>992 1003 9991016 540 251</t>
  </si>
  <si>
    <t>992 1102 1300037 611 241</t>
  </si>
  <si>
    <t>992 1204 1400044 244 226</t>
  </si>
  <si>
    <t>992 1204 1400044 244 340</t>
  </si>
  <si>
    <t>Обслуживание внутреннего долга</t>
  </si>
  <si>
    <t>992 1301 9611015 730 231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</si>
  <si>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</si>
  <si>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</si>
  <si>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</si>
  <si>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</si>
  <si>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</si>
  <si>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</si>
  <si>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</si>
  <si>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</si>
  <si>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</si>
  <si>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</si>
  <si>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</si>
  <si>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</si>
  <si>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</si>
  <si>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</si>
  <si>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</si>
  <si>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</si>
  <si>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</si>
  <si>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</si>
  <si>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</si>
  <si>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</si>
  <si>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</si>
  <si>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</si>
  <si>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</si>
  <si>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</si>
  <si>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</si>
  <si>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</si>
  <si>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</si>
  <si>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</si>
  <si>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</si>
  <si>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 xml:space="preserve">   1 декабря 2015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</si>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</sst>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76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42339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13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33081800</f>
        <v>33081800</v>
      </c>
      <c r="Q12" s="21"/>
      <c r="R12" s="21"/>
      <c r="S12" s="21">
        <f>29924962</f>
        <v>29924962</v>
      </c>
      <c r="T12" s="21"/>
      <c r="U12" s="21"/>
      <c r="V12" s="21"/>
      <c r="W12" s="22">
        <f>3156838</f>
        <v>3156838</v>
      </c>
      <c r="X12" s="22"/>
    </row>
    <row r="13" spans="1:24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39</v>
      </c>
      <c r="O13" s="24"/>
      <c r="P13" s="25">
        <f>400000</f>
        <v>400000</v>
      </c>
      <c r="Q13" s="25"/>
      <c r="R13" s="25"/>
      <c r="S13" s="25">
        <f>1129708.52</f>
        <v>1129708.52</v>
      </c>
      <c r="T13" s="25"/>
      <c r="U13" s="25"/>
      <c r="V13" s="25"/>
      <c r="W13" s="26">
        <f>-729708.52</f>
        <v>-729708.52</v>
      </c>
      <c r="X13" s="26"/>
    </row>
    <row r="14" spans="1:24" s="1" customFormat="1" ht="54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41</v>
      </c>
      <c r="O14" s="24"/>
      <c r="P14" s="27" t="s">
        <v>42</v>
      </c>
      <c r="Q14" s="27"/>
      <c r="R14" s="27"/>
      <c r="S14" s="25">
        <f>31282.31</f>
        <v>31282.31</v>
      </c>
      <c r="T14" s="25"/>
      <c r="U14" s="25"/>
      <c r="V14" s="25"/>
      <c r="W14" s="26">
        <f>0</f>
        <v>0</v>
      </c>
      <c r="X14" s="26"/>
    </row>
    <row r="15" spans="1:24" s="1" customFormat="1" ht="45" customHeight="1">
      <c r="A15" s="23" t="s">
        <v>43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44</v>
      </c>
      <c r="O15" s="24"/>
      <c r="P15" s="25">
        <f>2627000</f>
        <v>2627000</v>
      </c>
      <c r="Q15" s="25"/>
      <c r="R15" s="25"/>
      <c r="S15" s="25">
        <f>2239345.19</f>
        <v>2239345.19</v>
      </c>
      <c r="T15" s="25"/>
      <c r="U15" s="25"/>
      <c r="V15" s="25"/>
      <c r="W15" s="26">
        <f>387654.81</f>
        <v>387654.81</v>
      </c>
      <c r="X15" s="26"/>
    </row>
    <row r="16" spans="1:24" s="1" customFormat="1" ht="45" customHeight="1">
      <c r="A16" s="23" t="s">
        <v>45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46</v>
      </c>
      <c r="O16" s="24"/>
      <c r="P16" s="27" t="s">
        <v>42</v>
      </c>
      <c r="Q16" s="27"/>
      <c r="R16" s="27"/>
      <c r="S16" s="25">
        <f>-143797.96</f>
        <v>-143797.96</v>
      </c>
      <c r="T16" s="25"/>
      <c r="U16" s="25"/>
      <c r="V16" s="25"/>
      <c r="W16" s="26">
        <f>0</f>
        <v>0</v>
      </c>
      <c r="X16" s="26"/>
    </row>
    <row r="17" spans="1:24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48</v>
      </c>
      <c r="O17" s="24"/>
      <c r="P17" s="25">
        <f>9300000</f>
        <v>9300000</v>
      </c>
      <c r="Q17" s="25"/>
      <c r="R17" s="25"/>
      <c r="S17" s="25">
        <f>8400358.34</f>
        <v>8400358.34</v>
      </c>
      <c r="T17" s="25"/>
      <c r="U17" s="25"/>
      <c r="V17" s="25"/>
      <c r="W17" s="26">
        <f>899641.66</f>
        <v>899641.66</v>
      </c>
      <c r="X17" s="26"/>
    </row>
    <row r="18" spans="1:24" s="1" customFormat="1" ht="66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7" t="s">
        <v>42</v>
      </c>
      <c r="Q18" s="27"/>
      <c r="R18" s="27"/>
      <c r="S18" s="25">
        <f>101852.4</f>
        <v>101852.4</v>
      </c>
      <c r="T18" s="25"/>
      <c r="U18" s="25"/>
      <c r="V18" s="25"/>
      <c r="W18" s="26">
        <f>0</f>
        <v>0</v>
      </c>
      <c r="X18" s="26"/>
    </row>
    <row r="19" spans="1:24" s="1" customFormat="1" ht="24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7" t="s">
        <v>42</v>
      </c>
      <c r="Q19" s="27"/>
      <c r="R19" s="27"/>
      <c r="S19" s="25">
        <f>52242.84</f>
        <v>52242.84</v>
      </c>
      <c r="T19" s="25"/>
      <c r="U19" s="25"/>
      <c r="V19" s="25"/>
      <c r="W19" s="26">
        <f>0</f>
        <v>0</v>
      </c>
      <c r="X19" s="26"/>
    </row>
    <row r="20" spans="1:24" s="1" customFormat="1" ht="54.75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7" t="s">
        <v>42</v>
      </c>
      <c r="Q20" s="27"/>
      <c r="R20" s="27"/>
      <c r="S20" s="25">
        <f>76238.97</f>
        <v>76238.97</v>
      </c>
      <c r="T20" s="25"/>
      <c r="U20" s="25"/>
      <c r="V20" s="25"/>
      <c r="W20" s="26">
        <f>0</f>
        <v>0</v>
      </c>
      <c r="X20" s="26"/>
    </row>
    <row r="21" spans="1:24" s="1" customFormat="1" ht="13.5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5">
        <f>1186000</f>
        <v>1186000</v>
      </c>
      <c r="Q21" s="25"/>
      <c r="R21" s="25"/>
      <c r="S21" s="25">
        <f>1240229.94</f>
        <v>1240229.94</v>
      </c>
      <c r="T21" s="25"/>
      <c r="U21" s="25"/>
      <c r="V21" s="25"/>
      <c r="W21" s="26">
        <f>-54229.94</f>
        <v>-54229.94</v>
      </c>
      <c r="X21" s="26"/>
    </row>
    <row r="22" spans="1:24" s="1" customFormat="1" ht="24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5">
        <f>1370000</f>
        <v>1370000</v>
      </c>
      <c r="Q22" s="25"/>
      <c r="R22" s="25"/>
      <c r="S22" s="25">
        <f>1591159.67</f>
        <v>1591159.67</v>
      </c>
      <c r="T22" s="25"/>
      <c r="U22" s="25"/>
      <c r="V22" s="25"/>
      <c r="W22" s="26">
        <f>-221159.67</f>
        <v>-221159.67</v>
      </c>
      <c r="X22" s="26"/>
    </row>
    <row r="23" spans="1:24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5">
        <f>4500000</f>
        <v>4500000</v>
      </c>
      <c r="Q23" s="25"/>
      <c r="R23" s="25"/>
      <c r="S23" s="25">
        <f>2578319.13</f>
        <v>2578319.13</v>
      </c>
      <c r="T23" s="25"/>
      <c r="U23" s="25"/>
      <c r="V23" s="25"/>
      <c r="W23" s="26">
        <f>1921680.87</f>
        <v>1921680.87</v>
      </c>
      <c r="X23" s="26"/>
    </row>
    <row r="24" spans="1:24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5">
        <f>5000000</f>
        <v>5000000</v>
      </c>
      <c r="Q24" s="25"/>
      <c r="R24" s="25"/>
      <c r="S24" s="25">
        <f>5474719.06</f>
        <v>5474719.06</v>
      </c>
      <c r="T24" s="25"/>
      <c r="U24" s="25"/>
      <c r="V24" s="25"/>
      <c r="W24" s="26">
        <f>-474719.06</f>
        <v>-474719.06</v>
      </c>
      <c r="X24" s="26"/>
    </row>
    <row r="25" spans="1:24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7" t="s">
        <v>42</v>
      </c>
      <c r="Q25" s="27"/>
      <c r="R25" s="27"/>
      <c r="S25" s="25">
        <f>106.4</f>
        <v>106.4</v>
      </c>
      <c r="T25" s="25"/>
      <c r="U25" s="25"/>
      <c r="V25" s="25"/>
      <c r="W25" s="26">
        <f>0</f>
        <v>0</v>
      </c>
      <c r="X25" s="26"/>
    </row>
    <row r="26" spans="1:24" s="1" customFormat="1" ht="24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7" t="s">
        <v>42</v>
      </c>
      <c r="Q26" s="27"/>
      <c r="R26" s="27"/>
      <c r="S26" s="25">
        <f>500</f>
        <v>500</v>
      </c>
      <c r="T26" s="25"/>
      <c r="U26" s="25"/>
      <c r="V26" s="25"/>
      <c r="W26" s="26">
        <f>0</f>
        <v>0</v>
      </c>
      <c r="X26" s="26"/>
    </row>
    <row r="27" spans="1:24" s="1" customFormat="1" ht="33.75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7" t="s">
        <v>42</v>
      </c>
      <c r="Q27" s="27"/>
      <c r="R27" s="27"/>
      <c r="S27" s="25">
        <f>12696.08</f>
        <v>12696.08</v>
      </c>
      <c r="T27" s="25"/>
      <c r="U27" s="25"/>
      <c r="V27" s="25"/>
      <c r="W27" s="26">
        <f>0</f>
        <v>0</v>
      </c>
      <c r="X27" s="26"/>
    </row>
    <row r="28" spans="1:24" s="1" customFormat="1" ht="45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70</v>
      </c>
      <c r="O28" s="24"/>
      <c r="P28" s="25">
        <f>0</f>
        <v>0</v>
      </c>
      <c r="Q28" s="25"/>
      <c r="R28" s="25"/>
      <c r="S28" s="27" t="s">
        <v>42</v>
      </c>
      <c r="T28" s="27"/>
      <c r="U28" s="27"/>
      <c r="V28" s="27"/>
      <c r="W28" s="26">
        <f>0</f>
        <v>0</v>
      </c>
      <c r="X28" s="26"/>
    </row>
    <row r="29" spans="1:24" s="1" customFormat="1" ht="33.75" customHeight="1">
      <c r="A29" s="23" t="s">
        <v>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36</v>
      </c>
      <c r="M29" s="24"/>
      <c r="N29" s="24" t="s">
        <v>72</v>
      </c>
      <c r="O29" s="24"/>
      <c r="P29" s="25">
        <f>0</f>
        <v>0</v>
      </c>
      <c r="Q29" s="25"/>
      <c r="R29" s="25"/>
      <c r="S29" s="27" t="s">
        <v>42</v>
      </c>
      <c r="T29" s="27"/>
      <c r="U29" s="27"/>
      <c r="V29" s="27"/>
      <c r="W29" s="26">
        <f>0</f>
        <v>0</v>
      </c>
      <c r="X29" s="26"/>
    </row>
    <row r="30" spans="1:24" s="1" customFormat="1" ht="33.75" customHeight="1">
      <c r="A30" s="23" t="s">
        <v>73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36</v>
      </c>
      <c r="M30" s="24"/>
      <c r="N30" s="24" t="s">
        <v>74</v>
      </c>
      <c r="O30" s="24"/>
      <c r="P30" s="25">
        <f>390000</f>
        <v>390000</v>
      </c>
      <c r="Q30" s="25"/>
      <c r="R30" s="25"/>
      <c r="S30" s="25">
        <f>315101.11</f>
        <v>315101.11</v>
      </c>
      <c r="T30" s="25"/>
      <c r="U30" s="25"/>
      <c r="V30" s="25"/>
      <c r="W30" s="26">
        <f>74898.89</f>
        <v>74898.89</v>
      </c>
      <c r="X30" s="26"/>
    </row>
    <row r="31" spans="1:24" s="1" customFormat="1" ht="13.5" customHeight="1">
      <c r="A31" s="23" t="s">
        <v>75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36</v>
      </c>
      <c r="M31" s="24"/>
      <c r="N31" s="24" t="s">
        <v>76</v>
      </c>
      <c r="O31" s="24"/>
      <c r="P31" s="27" t="s">
        <v>42</v>
      </c>
      <c r="Q31" s="27"/>
      <c r="R31" s="27"/>
      <c r="S31" s="25">
        <f>0</f>
        <v>0</v>
      </c>
      <c r="T31" s="25"/>
      <c r="U31" s="25"/>
      <c r="V31" s="25"/>
      <c r="W31" s="26">
        <f>0</f>
        <v>0</v>
      </c>
      <c r="X31" s="26"/>
    </row>
    <row r="32" spans="1:24" s="1" customFormat="1" ht="13.5" customHeight="1">
      <c r="A32" s="23" t="s">
        <v>77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36</v>
      </c>
      <c r="M32" s="24"/>
      <c r="N32" s="24" t="s">
        <v>78</v>
      </c>
      <c r="O32" s="24"/>
      <c r="P32" s="27" t="s">
        <v>42</v>
      </c>
      <c r="Q32" s="27"/>
      <c r="R32" s="27"/>
      <c r="S32" s="25">
        <f>30000</f>
        <v>30000</v>
      </c>
      <c r="T32" s="25"/>
      <c r="U32" s="25"/>
      <c r="V32" s="25"/>
      <c r="W32" s="26">
        <f>0</f>
        <v>0</v>
      </c>
      <c r="X32" s="26"/>
    </row>
    <row r="33" spans="1:24" s="1" customFormat="1" ht="24" customHeight="1">
      <c r="A33" s="23" t="s">
        <v>79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36</v>
      </c>
      <c r="M33" s="24"/>
      <c r="N33" s="24" t="s">
        <v>80</v>
      </c>
      <c r="O33" s="24"/>
      <c r="P33" s="25">
        <f>5483800</f>
        <v>5483800</v>
      </c>
      <c r="Q33" s="25"/>
      <c r="R33" s="25"/>
      <c r="S33" s="25">
        <f>5106200</f>
        <v>5106200</v>
      </c>
      <c r="T33" s="25"/>
      <c r="U33" s="25"/>
      <c r="V33" s="25"/>
      <c r="W33" s="26">
        <f>377600</f>
        <v>377600</v>
      </c>
      <c r="X33" s="26"/>
    </row>
    <row r="34" spans="1:24" s="1" customFormat="1" ht="13.5" customHeight="1">
      <c r="A34" s="23" t="s">
        <v>81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36</v>
      </c>
      <c r="M34" s="24"/>
      <c r="N34" s="24" t="s">
        <v>82</v>
      </c>
      <c r="O34" s="24"/>
      <c r="P34" s="25">
        <f>2454100</f>
        <v>2454100</v>
      </c>
      <c r="Q34" s="25"/>
      <c r="R34" s="25"/>
      <c r="S34" s="25">
        <f>1354100</f>
        <v>1354100</v>
      </c>
      <c r="T34" s="25"/>
      <c r="U34" s="25"/>
      <c r="V34" s="25"/>
      <c r="W34" s="26">
        <f>1100000</f>
        <v>1100000</v>
      </c>
      <c r="X34" s="26"/>
    </row>
    <row r="35" spans="1:24" s="1" customFormat="1" ht="24" customHeight="1">
      <c r="A35" s="23" t="s">
        <v>83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36</v>
      </c>
      <c r="M35" s="24"/>
      <c r="N35" s="24" t="s">
        <v>84</v>
      </c>
      <c r="O35" s="24"/>
      <c r="P35" s="25">
        <f>363300</f>
        <v>363300</v>
      </c>
      <c r="Q35" s="25"/>
      <c r="R35" s="25"/>
      <c r="S35" s="25">
        <f>327000</f>
        <v>327000</v>
      </c>
      <c r="T35" s="25"/>
      <c r="U35" s="25"/>
      <c r="V35" s="25"/>
      <c r="W35" s="26">
        <f>36300</f>
        <v>36300</v>
      </c>
      <c r="X35" s="26"/>
    </row>
    <row r="36" spans="1:24" s="1" customFormat="1" ht="24" customHeight="1">
      <c r="A36" s="23" t="s">
        <v>85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36</v>
      </c>
      <c r="M36" s="24"/>
      <c r="N36" s="24" t="s">
        <v>86</v>
      </c>
      <c r="O36" s="24"/>
      <c r="P36" s="25">
        <f>7600</f>
        <v>7600</v>
      </c>
      <c r="Q36" s="25"/>
      <c r="R36" s="25"/>
      <c r="S36" s="25">
        <f>7600</f>
        <v>7600</v>
      </c>
      <c r="T36" s="25"/>
      <c r="U36" s="25"/>
      <c r="V36" s="25"/>
      <c r="W36" s="26">
        <f>0</f>
        <v>0</v>
      </c>
      <c r="X36" s="26"/>
    </row>
    <row r="37" spans="1:24" s="1" customFormat="1" ht="13.5" customHeight="1">
      <c r="A37" s="28" t="s">
        <v>13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s="1" customFormat="1" ht="13.5" customHeight="1">
      <c r="A38" s="12" t="s">
        <v>87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s="1" customFormat="1" ht="34.5" customHeight="1">
      <c r="A39" s="13" t="s">
        <v>23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 t="s">
        <v>24</v>
      </c>
      <c r="M39" s="13"/>
      <c r="N39" s="13" t="s">
        <v>88</v>
      </c>
      <c r="O39" s="13"/>
      <c r="P39" s="14" t="s">
        <v>26</v>
      </c>
      <c r="Q39" s="14"/>
      <c r="R39" s="14"/>
      <c r="S39" s="14" t="s">
        <v>27</v>
      </c>
      <c r="T39" s="14"/>
      <c r="U39" s="14"/>
      <c r="V39" s="14"/>
      <c r="W39" s="15" t="s">
        <v>28</v>
      </c>
      <c r="X39" s="15"/>
    </row>
    <row r="40" spans="1:24" s="1" customFormat="1" ht="13.5" customHeight="1">
      <c r="A40" s="16" t="s">
        <v>29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 t="s">
        <v>30</v>
      </c>
      <c r="M40" s="16"/>
      <c r="N40" s="16" t="s">
        <v>31</v>
      </c>
      <c r="O40" s="16"/>
      <c r="P40" s="17" t="s">
        <v>32</v>
      </c>
      <c r="Q40" s="17"/>
      <c r="R40" s="17"/>
      <c r="S40" s="17" t="s">
        <v>33</v>
      </c>
      <c r="T40" s="17"/>
      <c r="U40" s="17"/>
      <c r="V40" s="17"/>
      <c r="W40" s="18" t="s">
        <v>34</v>
      </c>
      <c r="X40" s="18"/>
    </row>
    <row r="41" spans="1:24" s="1" customFormat="1" ht="13.5" customHeight="1">
      <c r="A41" s="19" t="s">
        <v>89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0" t="s">
        <v>90</v>
      </c>
      <c r="M41" s="20"/>
      <c r="N41" s="20" t="s">
        <v>37</v>
      </c>
      <c r="O41" s="20"/>
      <c r="P41" s="21">
        <f>41906105.53</f>
        <v>41906105.53</v>
      </c>
      <c r="Q41" s="21"/>
      <c r="R41" s="21"/>
      <c r="S41" s="21">
        <f>34591766.04</f>
        <v>34591766.04</v>
      </c>
      <c r="T41" s="21"/>
      <c r="U41" s="21"/>
      <c r="V41" s="21"/>
      <c r="W41" s="22">
        <f>7314339.49</f>
        <v>7314339.49</v>
      </c>
      <c r="X41" s="22"/>
    </row>
    <row r="42" spans="1:24" s="1" customFormat="1" ht="13.5" customHeight="1">
      <c r="A42" s="29" t="s">
        <v>91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 t="s">
        <v>90</v>
      </c>
      <c r="M42" s="30"/>
      <c r="N42" s="30" t="s">
        <v>92</v>
      </c>
      <c r="O42" s="30"/>
      <c r="P42" s="31">
        <f>485400</f>
        <v>485400</v>
      </c>
      <c r="Q42" s="31"/>
      <c r="R42" s="31"/>
      <c r="S42" s="31">
        <f>433866</f>
        <v>433866</v>
      </c>
      <c r="T42" s="31"/>
      <c r="U42" s="31"/>
      <c r="V42" s="31"/>
      <c r="W42" s="32">
        <f>51534</f>
        <v>51534</v>
      </c>
      <c r="X42" s="32"/>
    </row>
    <row r="43" spans="1:24" s="1" customFormat="1" ht="13.5" customHeight="1">
      <c r="A43" s="29" t="s">
        <v>93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 t="s">
        <v>90</v>
      </c>
      <c r="M43" s="30"/>
      <c r="N43" s="30" t="s">
        <v>94</v>
      </c>
      <c r="O43" s="30"/>
      <c r="P43" s="31">
        <f>146600</f>
        <v>146600</v>
      </c>
      <c r="Q43" s="31"/>
      <c r="R43" s="31"/>
      <c r="S43" s="31">
        <f>128600.37</f>
        <v>128600.37</v>
      </c>
      <c r="T43" s="31"/>
      <c r="U43" s="31"/>
      <c r="V43" s="31"/>
      <c r="W43" s="32">
        <f>17999.63</f>
        <v>17999.63</v>
      </c>
      <c r="X43" s="32"/>
    </row>
    <row r="44" spans="1:24" s="1" customFormat="1" ht="13.5" customHeight="1">
      <c r="A44" s="29" t="s">
        <v>91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 t="s">
        <v>90</v>
      </c>
      <c r="M44" s="30"/>
      <c r="N44" s="30" t="s">
        <v>95</v>
      </c>
      <c r="O44" s="30"/>
      <c r="P44" s="31">
        <f>2936500</f>
        <v>2936500</v>
      </c>
      <c r="Q44" s="31"/>
      <c r="R44" s="31"/>
      <c r="S44" s="31">
        <f>2575132.55</f>
        <v>2575132.55</v>
      </c>
      <c r="T44" s="31"/>
      <c r="U44" s="31"/>
      <c r="V44" s="31"/>
      <c r="W44" s="32">
        <f>361367.45</f>
        <v>361367.45</v>
      </c>
      <c r="X44" s="32"/>
    </row>
    <row r="45" spans="1:24" s="1" customFormat="1" ht="13.5" customHeight="1">
      <c r="A45" s="29" t="s">
        <v>93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 t="s">
        <v>90</v>
      </c>
      <c r="M45" s="30"/>
      <c r="N45" s="30" t="s">
        <v>96</v>
      </c>
      <c r="O45" s="30"/>
      <c r="P45" s="31">
        <f>886800</f>
        <v>886800</v>
      </c>
      <c r="Q45" s="31"/>
      <c r="R45" s="31"/>
      <c r="S45" s="31">
        <f>825423.12</f>
        <v>825423.12</v>
      </c>
      <c r="T45" s="31"/>
      <c r="U45" s="31"/>
      <c r="V45" s="31"/>
      <c r="W45" s="32">
        <f>61376.88</f>
        <v>61376.88</v>
      </c>
      <c r="X45" s="32"/>
    </row>
    <row r="46" spans="1:24" s="1" customFormat="1" ht="13.5" customHeight="1">
      <c r="A46" s="29" t="s">
        <v>97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 t="s">
        <v>90</v>
      </c>
      <c r="M46" s="30"/>
      <c r="N46" s="30" t="s">
        <v>98</v>
      </c>
      <c r="O46" s="30"/>
      <c r="P46" s="31">
        <f>30000</f>
        <v>30000</v>
      </c>
      <c r="Q46" s="31"/>
      <c r="R46" s="31"/>
      <c r="S46" s="31">
        <f>20883</f>
        <v>20883</v>
      </c>
      <c r="T46" s="31"/>
      <c r="U46" s="31"/>
      <c r="V46" s="31"/>
      <c r="W46" s="32">
        <f>9117</f>
        <v>9117</v>
      </c>
      <c r="X46" s="32"/>
    </row>
    <row r="47" spans="1:24" s="1" customFormat="1" ht="13.5" customHeight="1">
      <c r="A47" s="29" t="s">
        <v>99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 t="s">
        <v>90</v>
      </c>
      <c r="M47" s="30"/>
      <c r="N47" s="30" t="s">
        <v>100</v>
      </c>
      <c r="O47" s="30"/>
      <c r="P47" s="31">
        <f>60000</f>
        <v>60000</v>
      </c>
      <c r="Q47" s="31"/>
      <c r="R47" s="31"/>
      <c r="S47" s="31">
        <f>53470</f>
        <v>53470</v>
      </c>
      <c r="T47" s="31"/>
      <c r="U47" s="31"/>
      <c r="V47" s="31"/>
      <c r="W47" s="32">
        <f>6530</f>
        <v>6530</v>
      </c>
      <c r="X47" s="32"/>
    </row>
    <row r="48" spans="1:24" s="1" customFormat="1" ht="13.5" customHeight="1">
      <c r="A48" s="29" t="s">
        <v>101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 t="s">
        <v>90</v>
      </c>
      <c r="M48" s="30"/>
      <c r="N48" s="30" t="s">
        <v>102</v>
      </c>
      <c r="O48" s="30"/>
      <c r="P48" s="31">
        <f>129200</f>
        <v>129200</v>
      </c>
      <c r="Q48" s="31"/>
      <c r="R48" s="31"/>
      <c r="S48" s="31">
        <f>129059.5</f>
        <v>129059.5</v>
      </c>
      <c r="T48" s="31"/>
      <c r="U48" s="31"/>
      <c r="V48" s="31"/>
      <c r="W48" s="32">
        <f>140.5</f>
        <v>140.5</v>
      </c>
      <c r="X48" s="32"/>
    </row>
    <row r="49" spans="1:24" s="1" customFormat="1" ht="13.5" customHeight="1">
      <c r="A49" s="29" t="s">
        <v>103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 t="s">
        <v>90</v>
      </c>
      <c r="M49" s="30"/>
      <c r="N49" s="30" t="s">
        <v>104</v>
      </c>
      <c r="O49" s="30"/>
      <c r="P49" s="31">
        <f>271100</f>
        <v>271100</v>
      </c>
      <c r="Q49" s="31"/>
      <c r="R49" s="31"/>
      <c r="S49" s="31">
        <f>58038</f>
        <v>58038</v>
      </c>
      <c r="T49" s="31"/>
      <c r="U49" s="31"/>
      <c r="V49" s="31"/>
      <c r="W49" s="32">
        <f>213062</f>
        <v>213062</v>
      </c>
      <c r="X49" s="32"/>
    </row>
    <row r="50" spans="1:24" s="1" customFormat="1" ht="13.5" customHeight="1">
      <c r="A50" s="29" t="s">
        <v>105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 t="s">
        <v>90</v>
      </c>
      <c r="M50" s="30"/>
      <c r="N50" s="30" t="s">
        <v>106</v>
      </c>
      <c r="O50" s="30"/>
      <c r="P50" s="31">
        <f>152500</f>
        <v>152500</v>
      </c>
      <c r="Q50" s="31"/>
      <c r="R50" s="31"/>
      <c r="S50" s="31">
        <f>32976</f>
        <v>32976</v>
      </c>
      <c r="T50" s="31"/>
      <c r="U50" s="31"/>
      <c r="V50" s="31"/>
      <c r="W50" s="32">
        <f>119524</f>
        <v>119524</v>
      </c>
      <c r="X50" s="32"/>
    </row>
    <row r="51" spans="1:24" s="1" customFormat="1" ht="13.5" customHeight="1">
      <c r="A51" s="29" t="s">
        <v>107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 t="s">
        <v>90</v>
      </c>
      <c r="M51" s="30"/>
      <c r="N51" s="30" t="s">
        <v>108</v>
      </c>
      <c r="O51" s="30"/>
      <c r="P51" s="31">
        <f>3000</f>
        <v>3000</v>
      </c>
      <c r="Q51" s="31"/>
      <c r="R51" s="31"/>
      <c r="S51" s="31">
        <f>3000</f>
        <v>3000</v>
      </c>
      <c r="T51" s="31"/>
      <c r="U51" s="31"/>
      <c r="V51" s="31"/>
      <c r="W51" s="32">
        <f>0</f>
        <v>0</v>
      </c>
      <c r="X51" s="32"/>
    </row>
    <row r="52" spans="1:24" s="1" customFormat="1" ht="13.5" customHeight="1">
      <c r="A52" s="29" t="s">
        <v>107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 t="s">
        <v>90</v>
      </c>
      <c r="M52" s="30"/>
      <c r="N52" s="30" t="s">
        <v>109</v>
      </c>
      <c r="O52" s="30"/>
      <c r="P52" s="31">
        <f>220000</f>
        <v>220000</v>
      </c>
      <c r="Q52" s="31"/>
      <c r="R52" s="31"/>
      <c r="S52" s="31">
        <f>180926.95</f>
        <v>180926.95</v>
      </c>
      <c r="T52" s="31"/>
      <c r="U52" s="31"/>
      <c r="V52" s="31"/>
      <c r="W52" s="32">
        <f>39073.05</f>
        <v>39073.05</v>
      </c>
      <c r="X52" s="32"/>
    </row>
    <row r="53" spans="1:24" s="1" customFormat="1" ht="13.5" customHeight="1">
      <c r="A53" s="29" t="s">
        <v>107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 t="s">
        <v>90</v>
      </c>
      <c r="M53" s="30"/>
      <c r="N53" s="30" t="s">
        <v>110</v>
      </c>
      <c r="O53" s="30"/>
      <c r="P53" s="31">
        <f>35000</f>
        <v>35000</v>
      </c>
      <c r="Q53" s="31"/>
      <c r="R53" s="31"/>
      <c r="S53" s="31">
        <f>10329.51</f>
        <v>10329.51</v>
      </c>
      <c r="T53" s="31"/>
      <c r="U53" s="31"/>
      <c r="V53" s="31"/>
      <c r="W53" s="32">
        <f>24670.49</f>
        <v>24670.49</v>
      </c>
      <c r="X53" s="32"/>
    </row>
    <row r="54" spans="1:24" s="1" customFormat="1" ht="13.5" customHeight="1">
      <c r="A54" s="29" t="s">
        <v>107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 t="s">
        <v>90</v>
      </c>
      <c r="M54" s="30"/>
      <c r="N54" s="30" t="s">
        <v>111</v>
      </c>
      <c r="O54" s="30"/>
      <c r="P54" s="31">
        <f>15000</f>
        <v>15000</v>
      </c>
      <c r="Q54" s="31"/>
      <c r="R54" s="31"/>
      <c r="S54" s="31">
        <f>14694</f>
        <v>14694</v>
      </c>
      <c r="T54" s="31"/>
      <c r="U54" s="31"/>
      <c r="V54" s="31"/>
      <c r="W54" s="32">
        <f>306</f>
        <v>306</v>
      </c>
      <c r="X54" s="32"/>
    </row>
    <row r="55" spans="1:24" s="1" customFormat="1" ht="13.5" customHeight="1">
      <c r="A55" s="29" t="s">
        <v>105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 t="s">
        <v>90</v>
      </c>
      <c r="M55" s="30"/>
      <c r="N55" s="30" t="s">
        <v>112</v>
      </c>
      <c r="O55" s="30"/>
      <c r="P55" s="31">
        <f>7600</f>
        <v>7600</v>
      </c>
      <c r="Q55" s="31"/>
      <c r="R55" s="31"/>
      <c r="S55" s="33" t="s">
        <v>42</v>
      </c>
      <c r="T55" s="33"/>
      <c r="U55" s="33"/>
      <c r="V55" s="33"/>
      <c r="W55" s="32">
        <f>7600</f>
        <v>7600</v>
      </c>
      <c r="X55" s="32"/>
    </row>
    <row r="56" spans="1:24" s="1" customFormat="1" ht="13.5" customHeight="1">
      <c r="A56" s="29" t="s">
        <v>113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0" t="s">
        <v>90</v>
      </c>
      <c r="M56" s="30"/>
      <c r="N56" s="30" t="s">
        <v>114</v>
      </c>
      <c r="O56" s="30"/>
      <c r="P56" s="31">
        <f>162900</f>
        <v>162900</v>
      </c>
      <c r="Q56" s="31"/>
      <c r="R56" s="31"/>
      <c r="S56" s="31">
        <f>162900</f>
        <v>162900</v>
      </c>
      <c r="T56" s="31"/>
      <c r="U56" s="31"/>
      <c r="V56" s="31"/>
      <c r="W56" s="32">
        <f>0</f>
        <v>0</v>
      </c>
      <c r="X56" s="32"/>
    </row>
    <row r="57" spans="1:24" s="1" customFormat="1" ht="13.5" customHeight="1">
      <c r="A57" s="29" t="s">
        <v>107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0" t="s">
        <v>90</v>
      </c>
      <c r="M57" s="30"/>
      <c r="N57" s="30" t="s">
        <v>115</v>
      </c>
      <c r="O57" s="30"/>
      <c r="P57" s="31">
        <f>40000</f>
        <v>40000</v>
      </c>
      <c r="Q57" s="31"/>
      <c r="R57" s="31"/>
      <c r="S57" s="33" t="s">
        <v>42</v>
      </c>
      <c r="T57" s="33"/>
      <c r="U57" s="33"/>
      <c r="V57" s="33"/>
      <c r="W57" s="32">
        <f>40000</f>
        <v>40000</v>
      </c>
      <c r="X57" s="32"/>
    </row>
    <row r="58" spans="1:24" s="1" customFormat="1" ht="13.5" customHeight="1">
      <c r="A58" s="29" t="s">
        <v>101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 t="s">
        <v>90</v>
      </c>
      <c r="M58" s="30"/>
      <c r="N58" s="30" t="s">
        <v>116</v>
      </c>
      <c r="O58" s="30"/>
      <c r="P58" s="31">
        <f>72500</f>
        <v>72500</v>
      </c>
      <c r="Q58" s="31"/>
      <c r="R58" s="31"/>
      <c r="S58" s="31">
        <f>70214.26</f>
        <v>70214.26</v>
      </c>
      <c r="T58" s="31"/>
      <c r="U58" s="31"/>
      <c r="V58" s="31"/>
      <c r="W58" s="32">
        <f>2285.74</f>
        <v>2285.74</v>
      </c>
      <c r="X58" s="32"/>
    </row>
    <row r="59" spans="1:24" s="1" customFormat="1" ht="13.5" customHeight="1">
      <c r="A59" s="29" t="s">
        <v>107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 t="s">
        <v>90</v>
      </c>
      <c r="M59" s="30"/>
      <c r="N59" s="30" t="s">
        <v>117</v>
      </c>
      <c r="O59" s="30"/>
      <c r="P59" s="31">
        <f>86500</f>
        <v>86500</v>
      </c>
      <c r="Q59" s="31"/>
      <c r="R59" s="31"/>
      <c r="S59" s="31">
        <f>36000</f>
        <v>36000</v>
      </c>
      <c r="T59" s="31"/>
      <c r="U59" s="31"/>
      <c r="V59" s="31"/>
      <c r="W59" s="32">
        <f>50500</f>
        <v>50500</v>
      </c>
      <c r="X59" s="32"/>
    </row>
    <row r="60" spans="1:24" s="1" customFormat="1" ht="13.5" customHeight="1">
      <c r="A60" s="29" t="s">
        <v>101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0" t="s">
        <v>90</v>
      </c>
      <c r="M60" s="30"/>
      <c r="N60" s="30" t="s">
        <v>118</v>
      </c>
      <c r="O60" s="30"/>
      <c r="P60" s="31">
        <f>1000</f>
        <v>1000</v>
      </c>
      <c r="Q60" s="31"/>
      <c r="R60" s="31"/>
      <c r="S60" s="33" t="s">
        <v>42</v>
      </c>
      <c r="T60" s="33"/>
      <c r="U60" s="33"/>
      <c r="V60" s="33"/>
      <c r="W60" s="32">
        <f>1000</f>
        <v>1000</v>
      </c>
      <c r="X60" s="32"/>
    </row>
    <row r="61" spans="1:24" s="1" customFormat="1" ht="13.5" customHeight="1">
      <c r="A61" s="29" t="s">
        <v>91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0" t="s">
        <v>90</v>
      </c>
      <c r="M61" s="30"/>
      <c r="N61" s="30" t="s">
        <v>119</v>
      </c>
      <c r="O61" s="30"/>
      <c r="P61" s="31">
        <f>3339400</f>
        <v>3339400</v>
      </c>
      <c r="Q61" s="31"/>
      <c r="R61" s="31"/>
      <c r="S61" s="31">
        <f>2646709.22</f>
        <v>2646709.22</v>
      </c>
      <c r="T61" s="31"/>
      <c r="U61" s="31"/>
      <c r="V61" s="31"/>
      <c r="W61" s="32">
        <f>692690.78</f>
        <v>692690.78</v>
      </c>
      <c r="X61" s="32"/>
    </row>
    <row r="62" spans="1:24" s="1" customFormat="1" ht="13.5" customHeight="1">
      <c r="A62" s="29" t="s">
        <v>93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0" t="s">
        <v>90</v>
      </c>
      <c r="M62" s="30"/>
      <c r="N62" s="30" t="s">
        <v>120</v>
      </c>
      <c r="O62" s="30"/>
      <c r="P62" s="31">
        <f>1008500</f>
        <v>1008500</v>
      </c>
      <c r="Q62" s="31"/>
      <c r="R62" s="31"/>
      <c r="S62" s="31">
        <f>880196.82</f>
        <v>880196.82</v>
      </c>
      <c r="T62" s="31"/>
      <c r="U62" s="31"/>
      <c r="V62" s="31"/>
      <c r="W62" s="32">
        <f>128303.18</f>
        <v>128303.18</v>
      </c>
      <c r="X62" s="32"/>
    </row>
    <row r="63" spans="1:24" s="1" customFormat="1" ht="13.5" customHeight="1">
      <c r="A63" s="29" t="s">
        <v>97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0" t="s">
        <v>90</v>
      </c>
      <c r="M63" s="30"/>
      <c r="N63" s="30" t="s">
        <v>121</v>
      </c>
      <c r="O63" s="30"/>
      <c r="P63" s="31">
        <f>130000</f>
        <v>130000</v>
      </c>
      <c r="Q63" s="31"/>
      <c r="R63" s="31"/>
      <c r="S63" s="31">
        <f>125525.63</f>
        <v>125525.63</v>
      </c>
      <c r="T63" s="31"/>
      <c r="U63" s="31"/>
      <c r="V63" s="31"/>
      <c r="W63" s="32">
        <f>4474.37</f>
        <v>4474.37</v>
      </c>
      <c r="X63" s="32"/>
    </row>
    <row r="64" spans="1:24" s="1" customFormat="1" ht="13.5" customHeight="1">
      <c r="A64" s="29" t="s">
        <v>122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0" t="s">
        <v>90</v>
      </c>
      <c r="M64" s="30"/>
      <c r="N64" s="30" t="s">
        <v>123</v>
      </c>
      <c r="O64" s="30"/>
      <c r="P64" s="31">
        <f>1051900</f>
        <v>1051900</v>
      </c>
      <c r="Q64" s="31"/>
      <c r="R64" s="31"/>
      <c r="S64" s="31">
        <f>599041.45</f>
        <v>599041.45</v>
      </c>
      <c r="T64" s="31"/>
      <c r="U64" s="31"/>
      <c r="V64" s="31"/>
      <c r="W64" s="32">
        <f>452858.55</f>
        <v>452858.55</v>
      </c>
      <c r="X64" s="32"/>
    </row>
    <row r="65" spans="1:24" s="1" customFormat="1" ht="13.5" customHeight="1">
      <c r="A65" s="29" t="s">
        <v>99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0" t="s">
        <v>90</v>
      </c>
      <c r="M65" s="30"/>
      <c r="N65" s="30" t="s">
        <v>124</v>
      </c>
      <c r="O65" s="30"/>
      <c r="P65" s="31">
        <f>40000</f>
        <v>40000</v>
      </c>
      <c r="Q65" s="31"/>
      <c r="R65" s="31"/>
      <c r="S65" s="31">
        <f>26678.48</f>
        <v>26678.48</v>
      </c>
      <c r="T65" s="31"/>
      <c r="U65" s="31"/>
      <c r="V65" s="31"/>
      <c r="W65" s="32">
        <f>13321.52</f>
        <v>13321.52</v>
      </c>
      <c r="X65" s="32"/>
    </row>
    <row r="66" spans="1:24" s="1" customFormat="1" ht="13.5" customHeight="1">
      <c r="A66" s="29" t="s">
        <v>101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0" t="s">
        <v>90</v>
      </c>
      <c r="M66" s="30"/>
      <c r="N66" s="30" t="s">
        <v>125</v>
      </c>
      <c r="O66" s="30"/>
      <c r="P66" s="31">
        <f>503000</f>
        <v>503000</v>
      </c>
      <c r="Q66" s="31"/>
      <c r="R66" s="31"/>
      <c r="S66" s="31">
        <f>502697.92</f>
        <v>502697.92</v>
      </c>
      <c r="T66" s="31"/>
      <c r="U66" s="31"/>
      <c r="V66" s="31"/>
      <c r="W66" s="32">
        <f>302.08</f>
        <v>302.08</v>
      </c>
      <c r="X66" s="32"/>
    </row>
    <row r="67" spans="1:24" s="1" customFormat="1" ht="13.5" customHeight="1">
      <c r="A67" s="29" t="s">
        <v>103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0" t="s">
        <v>90</v>
      </c>
      <c r="M67" s="30"/>
      <c r="N67" s="30" t="s">
        <v>126</v>
      </c>
      <c r="O67" s="30"/>
      <c r="P67" s="31">
        <f>203100</f>
        <v>203100</v>
      </c>
      <c r="Q67" s="31"/>
      <c r="R67" s="31"/>
      <c r="S67" s="31">
        <f>81287</f>
        <v>81287</v>
      </c>
      <c r="T67" s="31"/>
      <c r="U67" s="31"/>
      <c r="V67" s="31"/>
      <c r="W67" s="32">
        <f>121813</f>
        <v>121813</v>
      </c>
      <c r="X67" s="32"/>
    </row>
    <row r="68" spans="1:24" s="1" customFormat="1" ht="13.5" customHeight="1">
      <c r="A68" s="29" t="s">
        <v>105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 t="s">
        <v>90</v>
      </c>
      <c r="M68" s="30"/>
      <c r="N68" s="30" t="s">
        <v>127</v>
      </c>
      <c r="O68" s="30"/>
      <c r="P68" s="31">
        <f>399400</f>
        <v>399400</v>
      </c>
      <c r="Q68" s="31"/>
      <c r="R68" s="31"/>
      <c r="S68" s="31">
        <f>350695.39</f>
        <v>350695.39</v>
      </c>
      <c r="T68" s="31"/>
      <c r="U68" s="31"/>
      <c r="V68" s="31"/>
      <c r="W68" s="32">
        <f>48704.61</f>
        <v>48704.61</v>
      </c>
      <c r="X68" s="32"/>
    </row>
    <row r="69" spans="1:24" s="1" customFormat="1" ht="13.5" customHeight="1">
      <c r="A69" s="29" t="s">
        <v>107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0" t="s">
        <v>90</v>
      </c>
      <c r="M69" s="30"/>
      <c r="N69" s="30" t="s">
        <v>128</v>
      </c>
      <c r="O69" s="30"/>
      <c r="P69" s="31">
        <f>120000</f>
        <v>120000</v>
      </c>
      <c r="Q69" s="31"/>
      <c r="R69" s="31"/>
      <c r="S69" s="31">
        <f>86462.8</f>
        <v>86462.8</v>
      </c>
      <c r="T69" s="31"/>
      <c r="U69" s="31"/>
      <c r="V69" s="31"/>
      <c r="W69" s="32">
        <f>33537.2</f>
        <v>33537.2</v>
      </c>
      <c r="X69" s="32"/>
    </row>
    <row r="70" spans="1:24" s="1" customFormat="1" ht="13.5" customHeight="1">
      <c r="A70" s="29" t="s">
        <v>107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0" t="s">
        <v>90</v>
      </c>
      <c r="M70" s="30"/>
      <c r="N70" s="30" t="s">
        <v>129</v>
      </c>
      <c r="O70" s="30"/>
      <c r="P70" s="31">
        <f>25000</f>
        <v>25000</v>
      </c>
      <c r="Q70" s="31"/>
      <c r="R70" s="31"/>
      <c r="S70" s="31">
        <f>19211.14</f>
        <v>19211.14</v>
      </c>
      <c r="T70" s="31"/>
      <c r="U70" s="31"/>
      <c r="V70" s="31"/>
      <c r="W70" s="32">
        <f>5788.86</f>
        <v>5788.86</v>
      </c>
      <c r="X70" s="32"/>
    </row>
    <row r="71" spans="1:24" s="1" customFormat="1" ht="13.5" customHeight="1">
      <c r="A71" s="29" t="s">
        <v>101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 t="s">
        <v>90</v>
      </c>
      <c r="M71" s="30"/>
      <c r="N71" s="30" t="s">
        <v>130</v>
      </c>
      <c r="O71" s="30"/>
      <c r="P71" s="31">
        <f>27000</f>
        <v>27000</v>
      </c>
      <c r="Q71" s="31"/>
      <c r="R71" s="31"/>
      <c r="S71" s="31">
        <f>11686.84</f>
        <v>11686.84</v>
      </c>
      <c r="T71" s="31"/>
      <c r="U71" s="31"/>
      <c r="V71" s="31"/>
      <c r="W71" s="32">
        <f>15313.16</f>
        <v>15313.16</v>
      </c>
      <c r="X71" s="32"/>
    </row>
    <row r="72" spans="1:24" s="1" customFormat="1" ht="13.5" customHeight="1">
      <c r="A72" s="29" t="s">
        <v>91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 t="s">
        <v>90</v>
      </c>
      <c r="M72" s="30"/>
      <c r="N72" s="30" t="s">
        <v>131</v>
      </c>
      <c r="O72" s="30"/>
      <c r="P72" s="31">
        <f>240600</f>
        <v>240600</v>
      </c>
      <c r="Q72" s="31"/>
      <c r="R72" s="31"/>
      <c r="S72" s="31">
        <f>174279.57</f>
        <v>174279.57</v>
      </c>
      <c r="T72" s="31"/>
      <c r="U72" s="31"/>
      <c r="V72" s="31"/>
      <c r="W72" s="32">
        <f>66320.43</f>
        <v>66320.43</v>
      </c>
      <c r="X72" s="32"/>
    </row>
    <row r="73" spans="1:24" s="1" customFormat="1" ht="13.5" customHeight="1">
      <c r="A73" s="29" t="s">
        <v>93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0" t="s">
        <v>90</v>
      </c>
      <c r="M73" s="30"/>
      <c r="N73" s="30" t="s">
        <v>132</v>
      </c>
      <c r="O73" s="30"/>
      <c r="P73" s="31">
        <f>84300</f>
        <v>84300</v>
      </c>
      <c r="Q73" s="31"/>
      <c r="R73" s="31"/>
      <c r="S73" s="31">
        <f>57688.52</f>
        <v>57688.52</v>
      </c>
      <c r="T73" s="31"/>
      <c r="U73" s="31"/>
      <c r="V73" s="31"/>
      <c r="W73" s="32">
        <f>26611.48</f>
        <v>26611.48</v>
      </c>
      <c r="X73" s="32"/>
    </row>
    <row r="74" spans="1:24" s="1" customFormat="1" ht="13.5" customHeight="1">
      <c r="A74" s="29" t="s">
        <v>103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0" t="s">
        <v>90</v>
      </c>
      <c r="M74" s="30"/>
      <c r="N74" s="30" t="s">
        <v>133</v>
      </c>
      <c r="O74" s="30"/>
      <c r="P74" s="31">
        <f>38400</f>
        <v>38400</v>
      </c>
      <c r="Q74" s="31"/>
      <c r="R74" s="31"/>
      <c r="S74" s="31">
        <f>38400</f>
        <v>38400</v>
      </c>
      <c r="T74" s="31"/>
      <c r="U74" s="31"/>
      <c r="V74" s="31"/>
      <c r="W74" s="32">
        <f>0</f>
        <v>0</v>
      </c>
      <c r="X74" s="32"/>
    </row>
    <row r="75" spans="1:24" s="1" customFormat="1" ht="13.5" customHeight="1">
      <c r="A75" s="29" t="s">
        <v>91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0" t="s">
        <v>90</v>
      </c>
      <c r="M75" s="30"/>
      <c r="N75" s="30" t="s">
        <v>134</v>
      </c>
      <c r="O75" s="30"/>
      <c r="P75" s="31">
        <f>38400</f>
        <v>38400</v>
      </c>
      <c r="Q75" s="31"/>
      <c r="R75" s="31"/>
      <c r="S75" s="31">
        <f>38393.16</f>
        <v>38393.16</v>
      </c>
      <c r="T75" s="31"/>
      <c r="U75" s="31"/>
      <c r="V75" s="31"/>
      <c r="W75" s="32">
        <f>6.84</f>
        <v>6.84</v>
      </c>
      <c r="X75" s="32"/>
    </row>
    <row r="76" spans="1:24" s="1" customFormat="1" ht="13.5" customHeight="1">
      <c r="A76" s="29" t="s">
        <v>99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0" t="s">
        <v>90</v>
      </c>
      <c r="M76" s="30"/>
      <c r="N76" s="30" t="s">
        <v>135</v>
      </c>
      <c r="O76" s="30"/>
      <c r="P76" s="31">
        <f>20000</f>
        <v>20000</v>
      </c>
      <c r="Q76" s="31"/>
      <c r="R76" s="31"/>
      <c r="S76" s="33" t="s">
        <v>42</v>
      </c>
      <c r="T76" s="33"/>
      <c r="U76" s="33"/>
      <c r="V76" s="33"/>
      <c r="W76" s="32">
        <f>20000</f>
        <v>20000</v>
      </c>
      <c r="X76" s="32"/>
    </row>
    <row r="77" spans="1:24" s="1" customFormat="1" ht="13.5" customHeight="1">
      <c r="A77" s="29" t="s">
        <v>105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0" t="s">
        <v>90</v>
      </c>
      <c r="M77" s="30"/>
      <c r="N77" s="30" t="s">
        <v>136</v>
      </c>
      <c r="O77" s="30"/>
      <c r="P77" s="31">
        <f>4000</f>
        <v>4000</v>
      </c>
      <c r="Q77" s="31"/>
      <c r="R77" s="31"/>
      <c r="S77" s="33" t="s">
        <v>42</v>
      </c>
      <c r="T77" s="33"/>
      <c r="U77" s="33"/>
      <c r="V77" s="33"/>
      <c r="W77" s="32">
        <f>4000</f>
        <v>4000</v>
      </c>
      <c r="X77" s="32"/>
    </row>
    <row r="78" spans="1:24" s="1" customFormat="1" ht="13.5" customHeight="1">
      <c r="A78" s="29" t="s">
        <v>101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0" t="s">
        <v>90</v>
      </c>
      <c r="M78" s="30"/>
      <c r="N78" s="30" t="s">
        <v>137</v>
      </c>
      <c r="O78" s="30"/>
      <c r="P78" s="31">
        <f>5000</f>
        <v>5000</v>
      </c>
      <c r="Q78" s="31"/>
      <c r="R78" s="31"/>
      <c r="S78" s="33" t="s">
        <v>42</v>
      </c>
      <c r="T78" s="33"/>
      <c r="U78" s="33"/>
      <c r="V78" s="33"/>
      <c r="W78" s="32">
        <f>5000</f>
        <v>5000</v>
      </c>
      <c r="X78" s="32"/>
    </row>
    <row r="79" spans="1:24" s="1" customFormat="1" ht="13.5" customHeight="1">
      <c r="A79" s="29" t="s">
        <v>101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0" t="s">
        <v>90</v>
      </c>
      <c r="M79" s="30"/>
      <c r="N79" s="30" t="s">
        <v>138</v>
      </c>
      <c r="O79" s="30"/>
      <c r="P79" s="31">
        <f>1000</f>
        <v>1000</v>
      </c>
      <c r="Q79" s="31"/>
      <c r="R79" s="31"/>
      <c r="S79" s="33" t="s">
        <v>42</v>
      </c>
      <c r="T79" s="33"/>
      <c r="U79" s="33"/>
      <c r="V79" s="33"/>
      <c r="W79" s="32">
        <f>1000</f>
        <v>1000</v>
      </c>
      <c r="X79" s="32"/>
    </row>
    <row r="80" spans="1:24" s="1" customFormat="1" ht="13.5" customHeight="1">
      <c r="A80" s="29" t="s">
        <v>105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0" t="s">
        <v>90</v>
      </c>
      <c r="M80" s="30"/>
      <c r="N80" s="30" t="s">
        <v>139</v>
      </c>
      <c r="O80" s="30"/>
      <c r="P80" s="31">
        <f>4000</f>
        <v>4000</v>
      </c>
      <c r="Q80" s="31"/>
      <c r="R80" s="31"/>
      <c r="S80" s="33" t="s">
        <v>42</v>
      </c>
      <c r="T80" s="33"/>
      <c r="U80" s="33"/>
      <c r="V80" s="33"/>
      <c r="W80" s="32">
        <f>4000</f>
        <v>4000</v>
      </c>
      <c r="X80" s="32"/>
    </row>
    <row r="81" spans="1:24" s="1" customFormat="1" ht="13.5" customHeight="1">
      <c r="A81" s="29" t="s">
        <v>105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30" t="s">
        <v>90</v>
      </c>
      <c r="M81" s="30"/>
      <c r="N81" s="30" t="s">
        <v>140</v>
      </c>
      <c r="O81" s="30"/>
      <c r="P81" s="31">
        <f>1000</f>
        <v>1000</v>
      </c>
      <c r="Q81" s="31"/>
      <c r="R81" s="31"/>
      <c r="S81" s="33" t="s">
        <v>42</v>
      </c>
      <c r="T81" s="33"/>
      <c r="U81" s="33"/>
      <c r="V81" s="33"/>
      <c r="W81" s="32">
        <f>1000</f>
        <v>1000</v>
      </c>
      <c r="X81" s="32"/>
    </row>
    <row r="82" spans="1:24" s="1" customFormat="1" ht="13.5" customHeight="1">
      <c r="A82" s="29" t="s">
        <v>101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30" t="s">
        <v>90</v>
      </c>
      <c r="M82" s="30"/>
      <c r="N82" s="30" t="s">
        <v>141</v>
      </c>
      <c r="O82" s="30"/>
      <c r="P82" s="31">
        <f>5000</f>
        <v>5000</v>
      </c>
      <c r="Q82" s="31"/>
      <c r="R82" s="31"/>
      <c r="S82" s="33" t="s">
        <v>42</v>
      </c>
      <c r="T82" s="33"/>
      <c r="U82" s="33"/>
      <c r="V82" s="33"/>
      <c r="W82" s="32">
        <f>5000</f>
        <v>5000</v>
      </c>
      <c r="X82" s="32"/>
    </row>
    <row r="83" spans="1:24" s="1" customFormat="1" ht="13.5" customHeight="1">
      <c r="A83" s="29" t="s">
        <v>113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30" t="s">
        <v>90</v>
      </c>
      <c r="M83" s="30"/>
      <c r="N83" s="30" t="s">
        <v>142</v>
      </c>
      <c r="O83" s="30"/>
      <c r="P83" s="31">
        <f>2016500</f>
        <v>2016500</v>
      </c>
      <c r="Q83" s="31"/>
      <c r="R83" s="31"/>
      <c r="S83" s="31">
        <f>2016500</f>
        <v>2016500</v>
      </c>
      <c r="T83" s="31"/>
      <c r="U83" s="31"/>
      <c r="V83" s="31"/>
      <c r="W83" s="32">
        <f>0</f>
        <v>0</v>
      </c>
      <c r="X83" s="32"/>
    </row>
    <row r="84" spans="1:24" s="1" customFormat="1" ht="13.5" customHeight="1">
      <c r="A84" s="29" t="s">
        <v>101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30" t="s">
        <v>90</v>
      </c>
      <c r="M84" s="30"/>
      <c r="N84" s="30" t="s">
        <v>143</v>
      </c>
      <c r="O84" s="30"/>
      <c r="P84" s="31">
        <f>3000</f>
        <v>3000</v>
      </c>
      <c r="Q84" s="31"/>
      <c r="R84" s="31"/>
      <c r="S84" s="33" t="s">
        <v>42</v>
      </c>
      <c r="T84" s="33"/>
      <c r="U84" s="33"/>
      <c r="V84" s="33"/>
      <c r="W84" s="32">
        <f>3000</f>
        <v>3000</v>
      </c>
      <c r="X84" s="32"/>
    </row>
    <row r="85" spans="1:24" s="1" customFormat="1" ht="13.5" customHeight="1">
      <c r="A85" s="29" t="s">
        <v>101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30" t="s">
        <v>90</v>
      </c>
      <c r="M85" s="30"/>
      <c r="N85" s="30" t="s">
        <v>144</v>
      </c>
      <c r="O85" s="30"/>
      <c r="P85" s="31">
        <f>4000</f>
        <v>4000</v>
      </c>
      <c r="Q85" s="31"/>
      <c r="R85" s="31"/>
      <c r="S85" s="33" t="s">
        <v>42</v>
      </c>
      <c r="T85" s="33"/>
      <c r="U85" s="33"/>
      <c r="V85" s="33"/>
      <c r="W85" s="32">
        <f>4000</f>
        <v>4000</v>
      </c>
      <c r="X85" s="32"/>
    </row>
    <row r="86" spans="1:24" s="1" customFormat="1" ht="13.5" customHeight="1">
      <c r="A86" s="29" t="s">
        <v>99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30" t="s">
        <v>90</v>
      </c>
      <c r="M86" s="30"/>
      <c r="N86" s="30" t="s">
        <v>145</v>
      </c>
      <c r="O86" s="30"/>
      <c r="P86" s="31">
        <f>6000</f>
        <v>6000</v>
      </c>
      <c r="Q86" s="31"/>
      <c r="R86" s="31"/>
      <c r="S86" s="33" t="s">
        <v>42</v>
      </c>
      <c r="T86" s="33"/>
      <c r="U86" s="33"/>
      <c r="V86" s="33"/>
      <c r="W86" s="32">
        <f>6000</f>
        <v>6000</v>
      </c>
      <c r="X86" s="32"/>
    </row>
    <row r="87" spans="1:24" s="1" customFormat="1" ht="13.5" customHeight="1">
      <c r="A87" s="29" t="s">
        <v>105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30" t="s">
        <v>90</v>
      </c>
      <c r="M87" s="30"/>
      <c r="N87" s="30" t="s">
        <v>146</v>
      </c>
      <c r="O87" s="30"/>
      <c r="P87" s="31">
        <f>37000</f>
        <v>37000</v>
      </c>
      <c r="Q87" s="31"/>
      <c r="R87" s="31"/>
      <c r="S87" s="31">
        <f>37000</f>
        <v>37000</v>
      </c>
      <c r="T87" s="31"/>
      <c r="U87" s="31"/>
      <c r="V87" s="31"/>
      <c r="W87" s="32">
        <f>0</f>
        <v>0</v>
      </c>
      <c r="X87" s="32"/>
    </row>
    <row r="88" spans="1:24" s="1" customFormat="1" ht="13.5" customHeight="1">
      <c r="A88" s="29" t="s">
        <v>99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30" t="s">
        <v>90</v>
      </c>
      <c r="M88" s="30"/>
      <c r="N88" s="30" t="s">
        <v>147</v>
      </c>
      <c r="O88" s="30"/>
      <c r="P88" s="31">
        <f>429400</f>
        <v>429400</v>
      </c>
      <c r="Q88" s="31"/>
      <c r="R88" s="31"/>
      <c r="S88" s="33" t="s">
        <v>42</v>
      </c>
      <c r="T88" s="33"/>
      <c r="U88" s="33"/>
      <c r="V88" s="33"/>
      <c r="W88" s="32">
        <f>429400</f>
        <v>429400</v>
      </c>
      <c r="X88" s="32"/>
    </row>
    <row r="89" spans="1:24" s="1" customFormat="1" ht="13.5" customHeight="1">
      <c r="A89" s="29" t="s">
        <v>101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30" t="s">
        <v>90</v>
      </c>
      <c r="M89" s="30"/>
      <c r="N89" s="30" t="s">
        <v>148</v>
      </c>
      <c r="O89" s="30"/>
      <c r="P89" s="31">
        <f>32600</f>
        <v>32600</v>
      </c>
      <c r="Q89" s="31"/>
      <c r="R89" s="31"/>
      <c r="S89" s="31">
        <f>32595</f>
        <v>32595</v>
      </c>
      <c r="T89" s="31"/>
      <c r="U89" s="31"/>
      <c r="V89" s="31"/>
      <c r="W89" s="32">
        <f>5</f>
        <v>5</v>
      </c>
      <c r="X89" s="32"/>
    </row>
    <row r="90" spans="1:24" s="1" customFormat="1" ht="13.5" customHeight="1">
      <c r="A90" s="29" t="s">
        <v>99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30" t="s">
        <v>90</v>
      </c>
      <c r="M90" s="30"/>
      <c r="N90" s="30" t="s">
        <v>149</v>
      </c>
      <c r="O90" s="30"/>
      <c r="P90" s="31">
        <f>1438100</f>
        <v>1438100</v>
      </c>
      <c r="Q90" s="31"/>
      <c r="R90" s="31"/>
      <c r="S90" s="31">
        <f>1438088.3</f>
        <v>1438088.3</v>
      </c>
      <c r="T90" s="31"/>
      <c r="U90" s="31"/>
      <c r="V90" s="31"/>
      <c r="W90" s="32">
        <f>11.7</f>
        <v>11.7</v>
      </c>
      <c r="X90" s="32"/>
    </row>
    <row r="91" spans="1:24" s="1" customFormat="1" ht="13.5" customHeight="1">
      <c r="A91" s="29" t="s">
        <v>101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30" t="s">
        <v>90</v>
      </c>
      <c r="M91" s="30"/>
      <c r="N91" s="30" t="s">
        <v>150</v>
      </c>
      <c r="O91" s="30"/>
      <c r="P91" s="31">
        <f>36300</f>
        <v>36300</v>
      </c>
      <c r="Q91" s="31"/>
      <c r="R91" s="31"/>
      <c r="S91" s="31">
        <f>33294</f>
        <v>33294</v>
      </c>
      <c r="T91" s="31"/>
      <c r="U91" s="31"/>
      <c r="V91" s="31"/>
      <c r="W91" s="32">
        <f>3006</f>
        <v>3006</v>
      </c>
      <c r="X91" s="32"/>
    </row>
    <row r="92" spans="1:24" s="1" customFormat="1" ht="13.5" customHeight="1">
      <c r="A92" s="29" t="s">
        <v>103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30" t="s">
        <v>90</v>
      </c>
      <c r="M92" s="30"/>
      <c r="N92" s="30" t="s">
        <v>151</v>
      </c>
      <c r="O92" s="30"/>
      <c r="P92" s="31">
        <f>276700</f>
        <v>276700</v>
      </c>
      <c r="Q92" s="31"/>
      <c r="R92" s="31"/>
      <c r="S92" s="31">
        <f>276654.37</f>
        <v>276654.37</v>
      </c>
      <c r="T92" s="31"/>
      <c r="U92" s="31"/>
      <c r="V92" s="31"/>
      <c r="W92" s="32">
        <f>45.63</f>
        <v>45.63</v>
      </c>
      <c r="X92" s="32"/>
    </row>
    <row r="93" spans="1:24" s="1" customFormat="1" ht="13.5" customHeight="1">
      <c r="A93" s="29" t="s">
        <v>105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30" t="s">
        <v>90</v>
      </c>
      <c r="M93" s="30"/>
      <c r="N93" s="30" t="s">
        <v>152</v>
      </c>
      <c r="O93" s="30"/>
      <c r="P93" s="31">
        <f>1020700</f>
        <v>1020700</v>
      </c>
      <c r="Q93" s="31"/>
      <c r="R93" s="31"/>
      <c r="S93" s="31">
        <f>996660</f>
        <v>996660</v>
      </c>
      <c r="T93" s="31"/>
      <c r="U93" s="31"/>
      <c r="V93" s="31"/>
      <c r="W93" s="32">
        <f>24040</f>
        <v>24040</v>
      </c>
      <c r="X93" s="32"/>
    </row>
    <row r="94" spans="1:24" s="1" customFormat="1" ht="13.5" customHeight="1">
      <c r="A94" s="29" t="s">
        <v>99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30" t="s">
        <v>90</v>
      </c>
      <c r="M94" s="30"/>
      <c r="N94" s="30" t="s">
        <v>153</v>
      </c>
      <c r="O94" s="30"/>
      <c r="P94" s="31">
        <f>1100000</f>
        <v>1100000</v>
      </c>
      <c r="Q94" s="31"/>
      <c r="R94" s="31"/>
      <c r="S94" s="33" t="s">
        <v>42</v>
      </c>
      <c r="T94" s="33"/>
      <c r="U94" s="33"/>
      <c r="V94" s="33"/>
      <c r="W94" s="32">
        <f>1100000</f>
        <v>1100000</v>
      </c>
      <c r="X94" s="32"/>
    </row>
    <row r="95" spans="1:24" s="1" customFormat="1" ht="13.5" customHeight="1">
      <c r="A95" s="29" t="s">
        <v>99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30" t="s">
        <v>90</v>
      </c>
      <c r="M95" s="30"/>
      <c r="N95" s="30" t="s">
        <v>154</v>
      </c>
      <c r="O95" s="30"/>
      <c r="P95" s="31">
        <f>287500</f>
        <v>287500</v>
      </c>
      <c r="Q95" s="31"/>
      <c r="R95" s="31"/>
      <c r="S95" s="31">
        <f>286303.59</f>
        <v>286303.59</v>
      </c>
      <c r="T95" s="31"/>
      <c r="U95" s="31"/>
      <c r="V95" s="31"/>
      <c r="W95" s="32">
        <f>1196.41</f>
        <v>1196.41</v>
      </c>
      <c r="X95" s="32"/>
    </row>
    <row r="96" spans="1:24" s="1" customFormat="1" ht="13.5" customHeight="1">
      <c r="A96" s="29" t="s">
        <v>101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30" t="s">
        <v>90</v>
      </c>
      <c r="M96" s="30"/>
      <c r="N96" s="30" t="s">
        <v>155</v>
      </c>
      <c r="O96" s="30"/>
      <c r="P96" s="31">
        <f>320100</f>
        <v>320100</v>
      </c>
      <c r="Q96" s="31"/>
      <c r="R96" s="31"/>
      <c r="S96" s="31">
        <f>320046</f>
        <v>320046</v>
      </c>
      <c r="T96" s="31"/>
      <c r="U96" s="31"/>
      <c r="V96" s="31"/>
      <c r="W96" s="32">
        <f>54</f>
        <v>54</v>
      </c>
      <c r="X96" s="32"/>
    </row>
    <row r="97" spans="1:24" s="1" customFormat="1" ht="13.5" customHeight="1">
      <c r="A97" s="29" t="s">
        <v>103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30" t="s">
        <v>90</v>
      </c>
      <c r="M97" s="30"/>
      <c r="N97" s="30" t="s">
        <v>156</v>
      </c>
      <c r="O97" s="30"/>
      <c r="P97" s="31">
        <f>74500</f>
        <v>74500</v>
      </c>
      <c r="Q97" s="31"/>
      <c r="R97" s="31"/>
      <c r="S97" s="31">
        <f>74415.2</f>
        <v>74415.2</v>
      </c>
      <c r="T97" s="31"/>
      <c r="U97" s="31"/>
      <c r="V97" s="31"/>
      <c r="W97" s="32">
        <f>84.8</f>
        <v>84.8</v>
      </c>
      <c r="X97" s="32"/>
    </row>
    <row r="98" spans="1:24" s="1" customFormat="1" ht="13.5" customHeight="1">
      <c r="A98" s="29" t="s">
        <v>105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30" t="s">
        <v>90</v>
      </c>
      <c r="M98" s="30"/>
      <c r="N98" s="30" t="s">
        <v>157</v>
      </c>
      <c r="O98" s="30"/>
      <c r="P98" s="31">
        <f>121900</f>
        <v>121900</v>
      </c>
      <c r="Q98" s="31"/>
      <c r="R98" s="31"/>
      <c r="S98" s="31">
        <f>121862</f>
        <v>121862</v>
      </c>
      <c r="T98" s="31"/>
      <c r="U98" s="31"/>
      <c r="V98" s="31"/>
      <c r="W98" s="32">
        <f>38</f>
        <v>38</v>
      </c>
      <c r="X98" s="32"/>
    </row>
    <row r="99" spans="1:24" s="1" customFormat="1" ht="13.5" customHeight="1">
      <c r="A99" s="29" t="s">
        <v>107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30" t="s">
        <v>90</v>
      </c>
      <c r="M99" s="30"/>
      <c r="N99" s="30" t="s">
        <v>158</v>
      </c>
      <c r="O99" s="30"/>
      <c r="P99" s="31">
        <f>300000</f>
        <v>300000</v>
      </c>
      <c r="Q99" s="31"/>
      <c r="R99" s="31"/>
      <c r="S99" s="31">
        <f>300000</f>
        <v>300000</v>
      </c>
      <c r="T99" s="31"/>
      <c r="U99" s="31"/>
      <c r="V99" s="31"/>
      <c r="W99" s="32">
        <f>0</f>
        <v>0</v>
      </c>
      <c r="X99" s="32"/>
    </row>
    <row r="100" spans="1:24" s="1" customFormat="1" ht="13.5" customHeight="1">
      <c r="A100" s="29" t="s">
        <v>105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30" t="s">
        <v>90</v>
      </c>
      <c r="M100" s="30"/>
      <c r="N100" s="30" t="s">
        <v>159</v>
      </c>
      <c r="O100" s="30"/>
      <c r="P100" s="31">
        <f>2000</f>
        <v>2000</v>
      </c>
      <c r="Q100" s="31"/>
      <c r="R100" s="31"/>
      <c r="S100" s="33" t="s">
        <v>42</v>
      </c>
      <c r="T100" s="33"/>
      <c r="U100" s="33"/>
      <c r="V100" s="33"/>
      <c r="W100" s="32">
        <f>2000</f>
        <v>2000</v>
      </c>
      <c r="X100" s="32"/>
    </row>
    <row r="101" spans="1:24" s="1" customFormat="1" ht="13.5" customHeight="1">
      <c r="A101" s="29" t="s">
        <v>101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30" t="s">
        <v>90</v>
      </c>
      <c r="M101" s="30"/>
      <c r="N101" s="30" t="s">
        <v>160</v>
      </c>
      <c r="O101" s="30"/>
      <c r="P101" s="31">
        <f>800000</f>
        <v>800000</v>
      </c>
      <c r="Q101" s="31"/>
      <c r="R101" s="31"/>
      <c r="S101" s="31">
        <f>339090.69</f>
        <v>339090.69</v>
      </c>
      <c r="T101" s="31"/>
      <c r="U101" s="31"/>
      <c r="V101" s="31"/>
      <c r="W101" s="32">
        <f>460909.31</f>
        <v>460909.31</v>
      </c>
      <c r="X101" s="32"/>
    </row>
    <row r="102" spans="1:24" s="1" customFormat="1" ht="13.5" customHeight="1">
      <c r="A102" s="29" t="s">
        <v>107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30" t="s">
        <v>90</v>
      </c>
      <c r="M102" s="30"/>
      <c r="N102" s="30" t="s">
        <v>161</v>
      </c>
      <c r="O102" s="30"/>
      <c r="P102" s="31">
        <f>10000</f>
        <v>10000</v>
      </c>
      <c r="Q102" s="31"/>
      <c r="R102" s="31"/>
      <c r="S102" s="31">
        <f>10000</f>
        <v>10000</v>
      </c>
      <c r="T102" s="31"/>
      <c r="U102" s="31"/>
      <c r="V102" s="31"/>
      <c r="W102" s="32">
        <f>0</f>
        <v>0</v>
      </c>
      <c r="X102" s="32"/>
    </row>
    <row r="103" spans="1:24" s="1" customFormat="1" ht="13.5" customHeight="1">
      <c r="A103" s="29" t="s">
        <v>105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30" t="s">
        <v>90</v>
      </c>
      <c r="M103" s="30"/>
      <c r="N103" s="30" t="s">
        <v>162</v>
      </c>
      <c r="O103" s="30"/>
      <c r="P103" s="31">
        <f>0</f>
        <v>0</v>
      </c>
      <c r="Q103" s="31"/>
      <c r="R103" s="31"/>
      <c r="S103" s="33" t="s">
        <v>42</v>
      </c>
      <c r="T103" s="33"/>
      <c r="U103" s="33"/>
      <c r="V103" s="33"/>
      <c r="W103" s="32">
        <f>0</f>
        <v>0</v>
      </c>
      <c r="X103" s="32"/>
    </row>
    <row r="104" spans="1:24" s="1" customFormat="1" ht="13.5" customHeight="1">
      <c r="A104" s="29" t="s">
        <v>99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30" t="s">
        <v>90</v>
      </c>
      <c r="M104" s="30"/>
      <c r="N104" s="30" t="s">
        <v>163</v>
      </c>
      <c r="O104" s="30"/>
      <c r="P104" s="31">
        <f>250000</f>
        <v>250000</v>
      </c>
      <c r="Q104" s="31"/>
      <c r="R104" s="31"/>
      <c r="S104" s="31">
        <f>26783.85</f>
        <v>26783.85</v>
      </c>
      <c r="T104" s="31"/>
      <c r="U104" s="31"/>
      <c r="V104" s="31"/>
      <c r="W104" s="32">
        <f>223216.15</f>
        <v>223216.15</v>
      </c>
      <c r="X104" s="32"/>
    </row>
    <row r="105" spans="1:24" s="1" customFormat="1" ht="13.5" customHeight="1">
      <c r="A105" s="29" t="s">
        <v>103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30" t="s">
        <v>90</v>
      </c>
      <c r="M105" s="30"/>
      <c r="N105" s="30" t="s">
        <v>164</v>
      </c>
      <c r="O105" s="30"/>
      <c r="P105" s="31">
        <f>558500</f>
        <v>558500</v>
      </c>
      <c r="Q105" s="31"/>
      <c r="R105" s="31"/>
      <c r="S105" s="33" t="s">
        <v>42</v>
      </c>
      <c r="T105" s="33"/>
      <c r="U105" s="33"/>
      <c r="V105" s="33"/>
      <c r="W105" s="32">
        <f>558500</f>
        <v>558500</v>
      </c>
      <c r="X105" s="32"/>
    </row>
    <row r="106" spans="1:24" s="1" customFormat="1" ht="13.5" customHeight="1">
      <c r="A106" s="29" t="s">
        <v>107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30" t="s">
        <v>90</v>
      </c>
      <c r="M106" s="30"/>
      <c r="N106" s="30" t="s">
        <v>165</v>
      </c>
      <c r="O106" s="30"/>
      <c r="P106" s="31">
        <f>43600</f>
        <v>43600</v>
      </c>
      <c r="Q106" s="31"/>
      <c r="R106" s="31"/>
      <c r="S106" s="31">
        <f>37600</f>
        <v>37600</v>
      </c>
      <c r="T106" s="31"/>
      <c r="U106" s="31"/>
      <c r="V106" s="31"/>
      <c r="W106" s="32">
        <f>6000</f>
        <v>6000</v>
      </c>
      <c r="X106" s="32"/>
    </row>
    <row r="107" spans="1:24" s="1" customFormat="1" ht="13.5" customHeight="1">
      <c r="A107" s="29" t="s">
        <v>99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30" t="s">
        <v>90</v>
      </c>
      <c r="M107" s="30"/>
      <c r="N107" s="30" t="s">
        <v>166</v>
      </c>
      <c r="O107" s="30"/>
      <c r="P107" s="31">
        <f>0</f>
        <v>0</v>
      </c>
      <c r="Q107" s="31"/>
      <c r="R107" s="31"/>
      <c r="S107" s="33" t="s">
        <v>42</v>
      </c>
      <c r="T107" s="33"/>
      <c r="U107" s="33"/>
      <c r="V107" s="33"/>
      <c r="W107" s="32">
        <f>0</f>
        <v>0</v>
      </c>
      <c r="X107" s="32"/>
    </row>
    <row r="108" spans="1:24" s="1" customFormat="1" ht="24" customHeight="1">
      <c r="A108" s="29" t="s">
        <v>167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30" t="s">
        <v>90</v>
      </c>
      <c r="M108" s="30"/>
      <c r="N108" s="30" t="s">
        <v>168</v>
      </c>
      <c r="O108" s="30"/>
      <c r="P108" s="31">
        <f>500000</f>
        <v>500000</v>
      </c>
      <c r="Q108" s="31"/>
      <c r="R108" s="31"/>
      <c r="S108" s="31">
        <f>500000</f>
        <v>500000</v>
      </c>
      <c r="T108" s="31"/>
      <c r="U108" s="31"/>
      <c r="V108" s="31"/>
      <c r="W108" s="32">
        <f>0</f>
        <v>0</v>
      </c>
      <c r="X108" s="32"/>
    </row>
    <row r="109" spans="1:24" s="1" customFormat="1" ht="13.5" customHeight="1">
      <c r="A109" s="29" t="s">
        <v>101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30" t="s">
        <v>90</v>
      </c>
      <c r="M109" s="30"/>
      <c r="N109" s="30" t="s">
        <v>169</v>
      </c>
      <c r="O109" s="30"/>
      <c r="P109" s="31">
        <f>63000</f>
        <v>63000</v>
      </c>
      <c r="Q109" s="31"/>
      <c r="R109" s="31"/>
      <c r="S109" s="33" t="s">
        <v>42</v>
      </c>
      <c r="T109" s="33"/>
      <c r="U109" s="33"/>
      <c r="V109" s="33"/>
      <c r="W109" s="32">
        <f>63000</f>
        <v>63000</v>
      </c>
      <c r="X109" s="32"/>
    </row>
    <row r="110" spans="1:24" s="1" customFormat="1" ht="13.5" customHeight="1">
      <c r="A110" s="29" t="s">
        <v>122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30" t="s">
        <v>90</v>
      </c>
      <c r="M110" s="30"/>
      <c r="N110" s="30" t="s">
        <v>170</v>
      </c>
      <c r="O110" s="30"/>
      <c r="P110" s="31">
        <f>1260000</f>
        <v>1260000</v>
      </c>
      <c r="Q110" s="31"/>
      <c r="R110" s="31"/>
      <c r="S110" s="31">
        <f>1005169.13</f>
        <v>1005169.13</v>
      </c>
      <c r="T110" s="31"/>
      <c r="U110" s="31"/>
      <c r="V110" s="31"/>
      <c r="W110" s="32">
        <f>254830.87</f>
        <v>254830.87</v>
      </c>
      <c r="X110" s="32"/>
    </row>
    <row r="111" spans="1:24" s="1" customFormat="1" ht="13.5" customHeight="1">
      <c r="A111" s="29" t="s">
        <v>99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30" t="s">
        <v>90</v>
      </c>
      <c r="M111" s="30"/>
      <c r="N111" s="30" t="s">
        <v>171</v>
      </c>
      <c r="O111" s="30"/>
      <c r="P111" s="31">
        <f>400000</f>
        <v>400000</v>
      </c>
      <c r="Q111" s="31"/>
      <c r="R111" s="31"/>
      <c r="S111" s="31">
        <f>299700</f>
        <v>299700</v>
      </c>
      <c r="T111" s="31"/>
      <c r="U111" s="31"/>
      <c r="V111" s="31"/>
      <c r="W111" s="32">
        <f>100300</f>
        <v>100300</v>
      </c>
      <c r="X111" s="32"/>
    </row>
    <row r="112" spans="1:24" s="1" customFormat="1" ht="13.5" customHeight="1">
      <c r="A112" s="29" t="s">
        <v>105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30" t="s">
        <v>90</v>
      </c>
      <c r="M112" s="30"/>
      <c r="N112" s="30" t="s">
        <v>172</v>
      </c>
      <c r="O112" s="30"/>
      <c r="P112" s="31">
        <f>50000</f>
        <v>50000</v>
      </c>
      <c r="Q112" s="31"/>
      <c r="R112" s="31"/>
      <c r="S112" s="31">
        <f>49950</f>
        <v>49950</v>
      </c>
      <c r="T112" s="31"/>
      <c r="U112" s="31"/>
      <c r="V112" s="31"/>
      <c r="W112" s="32">
        <f>50</f>
        <v>50</v>
      </c>
      <c r="X112" s="32"/>
    </row>
    <row r="113" spans="1:24" s="1" customFormat="1" ht="13.5" customHeight="1">
      <c r="A113" s="29" t="s">
        <v>99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30" t="s">
        <v>90</v>
      </c>
      <c r="M113" s="30"/>
      <c r="N113" s="30" t="s">
        <v>173</v>
      </c>
      <c r="O113" s="30"/>
      <c r="P113" s="31">
        <f>700000</f>
        <v>700000</v>
      </c>
      <c r="Q113" s="31"/>
      <c r="R113" s="31"/>
      <c r="S113" s="31">
        <f>373752.45</f>
        <v>373752.45</v>
      </c>
      <c r="T113" s="31"/>
      <c r="U113" s="31"/>
      <c r="V113" s="31"/>
      <c r="W113" s="32">
        <f>326247.55</f>
        <v>326247.55</v>
      </c>
      <c r="X113" s="32"/>
    </row>
    <row r="114" spans="1:24" s="1" customFormat="1" ht="13.5" customHeight="1">
      <c r="A114" s="29" t="s">
        <v>105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30" t="s">
        <v>90</v>
      </c>
      <c r="M114" s="30"/>
      <c r="N114" s="30" t="s">
        <v>174</v>
      </c>
      <c r="O114" s="30"/>
      <c r="P114" s="31">
        <f>100000</f>
        <v>100000</v>
      </c>
      <c r="Q114" s="31"/>
      <c r="R114" s="31"/>
      <c r="S114" s="31">
        <f>46100</f>
        <v>46100</v>
      </c>
      <c r="T114" s="31"/>
      <c r="U114" s="31"/>
      <c r="V114" s="31"/>
      <c r="W114" s="32">
        <f>53900</f>
        <v>53900</v>
      </c>
      <c r="X114" s="32"/>
    </row>
    <row r="115" spans="1:24" s="1" customFormat="1" ht="13.5" customHeight="1">
      <c r="A115" s="29" t="s">
        <v>99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30" t="s">
        <v>90</v>
      </c>
      <c r="M115" s="30"/>
      <c r="N115" s="30" t="s">
        <v>175</v>
      </c>
      <c r="O115" s="30"/>
      <c r="P115" s="31">
        <f>3512900</f>
        <v>3512900</v>
      </c>
      <c r="Q115" s="31"/>
      <c r="R115" s="31"/>
      <c r="S115" s="31">
        <f>2728240.58</f>
        <v>2728240.58</v>
      </c>
      <c r="T115" s="31"/>
      <c r="U115" s="31"/>
      <c r="V115" s="31"/>
      <c r="W115" s="32">
        <f>784659.42</f>
        <v>784659.42</v>
      </c>
      <c r="X115" s="32"/>
    </row>
    <row r="116" spans="1:24" s="1" customFormat="1" ht="13.5" customHeight="1">
      <c r="A116" s="29" t="s">
        <v>101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30" t="s">
        <v>90</v>
      </c>
      <c r="M116" s="30"/>
      <c r="N116" s="30" t="s">
        <v>176</v>
      </c>
      <c r="O116" s="30"/>
      <c r="P116" s="31">
        <f>89100</f>
        <v>89100</v>
      </c>
      <c r="Q116" s="31"/>
      <c r="R116" s="31"/>
      <c r="S116" s="31">
        <f>89035.67</f>
        <v>89035.67</v>
      </c>
      <c r="T116" s="31"/>
      <c r="U116" s="31"/>
      <c r="V116" s="31"/>
      <c r="W116" s="32">
        <f>64.33</f>
        <v>64.33</v>
      </c>
      <c r="X116" s="32"/>
    </row>
    <row r="117" spans="1:24" s="1" customFormat="1" ht="13.5" customHeight="1">
      <c r="A117" s="29" t="s">
        <v>103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30" t="s">
        <v>90</v>
      </c>
      <c r="M117" s="30"/>
      <c r="N117" s="30" t="s">
        <v>177</v>
      </c>
      <c r="O117" s="30"/>
      <c r="P117" s="31">
        <f>108000</f>
        <v>108000</v>
      </c>
      <c r="Q117" s="31"/>
      <c r="R117" s="31"/>
      <c r="S117" s="31">
        <f>107970</f>
        <v>107970</v>
      </c>
      <c r="T117" s="31"/>
      <c r="U117" s="31"/>
      <c r="V117" s="31"/>
      <c r="W117" s="32">
        <f>30</f>
        <v>30</v>
      </c>
      <c r="X117" s="32"/>
    </row>
    <row r="118" spans="1:24" s="1" customFormat="1" ht="13.5" customHeight="1">
      <c r="A118" s="29" t="s">
        <v>105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30" t="s">
        <v>90</v>
      </c>
      <c r="M118" s="30"/>
      <c r="N118" s="30" t="s">
        <v>178</v>
      </c>
      <c r="O118" s="30"/>
      <c r="P118" s="31">
        <f>201700</f>
        <v>201700</v>
      </c>
      <c r="Q118" s="31"/>
      <c r="R118" s="31"/>
      <c r="S118" s="31">
        <f>201662.12</f>
        <v>201662.12</v>
      </c>
      <c r="T118" s="31"/>
      <c r="U118" s="31"/>
      <c r="V118" s="31"/>
      <c r="W118" s="32">
        <f>37.88</f>
        <v>37.88</v>
      </c>
      <c r="X118" s="32"/>
    </row>
    <row r="119" spans="1:24" s="1" customFormat="1" ht="13.5" customHeight="1">
      <c r="A119" s="29" t="s">
        <v>107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30" t="s">
        <v>90</v>
      </c>
      <c r="M119" s="30"/>
      <c r="N119" s="30" t="s">
        <v>179</v>
      </c>
      <c r="O119" s="30"/>
      <c r="P119" s="31">
        <f>60300</f>
        <v>60300</v>
      </c>
      <c r="Q119" s="31"/>
      <c r="R119" s="31"/>
      <c r="S119" s="31">
        <f>60237</f>
        <v>60237</v>
      </c>
      <c r="T119" s="31"/>
      <c r="U119" s="31"/>
      <c r="V119" s="31"/>
      <c r="W119" s="32">
        <f>63</f>
        <v>63</v>
      </c>
      <c r="X119" s="32"/>
    </row>
    <row r="120" spans="1:24" s="1" customFormat="1" ht="13.5" customHeight="1">
      <c r="A120" s="29" t="s">
        <v>99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30" t="s">
        <v>90</v>
      </c>
      <c r="M120" s="30"/>
      <c r="N120" s="30" t="s">
        <v>180</v>
      </c>
      <c r="O120" s="30"/>
      <c r="P120" s="31">
        <f>0</f>
        <v>0</v>
      </c>
      <c r="Q120" s="31"/>
      <c r="R120" s="31"/>
      <c r="S120" s="33" t="s">
        <v>42</v>
      </c>
      <c r="T120" s="33"/>
      <c r="U120" s="33"/>
      <c r="V120" s="33"/>
      <c r="W120" s="32">
        <f>0</f>
        <v>0</v>
      </c>
      <c r="X120" s="32"/>
    </row>
    <row r="121" spans="1:24" s="1" customFormat="1" ht="13.5" customHeight="1">
      <c r="A121" s="29" t="s">
        <v>101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30" t="s">
        <v>90</v>
      </c>
      <c r="M121" s="30"/>
      <c r="N121" s="30" t="s">
        <v>181</v>
      </c>
      <c r="O121" s="30"/>
      <c r="P121" s="31">
        <f>0</f>
        <v>0</v>
      </c>
      <c r="Q121" s="31"/>
      <c r="R121" s="31"/>
      <c r="S121" s="33" t="s">
        <v>42</v>
      </c>
      <c r="T121" s="33"/>
      <c r="U121" s="33"/>
      <c r="V121" s="33"/>
      <c r="W121" s="32">
        <f>0</f>
        <v>0</v>
      </c>
      <c r="X121" s="32"/>
    </row>
    <row r="122" spans="1:24" s="1" customFormat="1" ht="13.5" customHeight="1">
      <c r="A122" s="29" t="s">
        <v>101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30" t="s">
        <v>90</v>
      </c>
      <c r="M122" s="30"/>
      <c r="N122" s="30" t="s">
        <v>182</v>
      </c>
      <c r="O122" s="30"/>
      <c r="P122" s="31">
        <f>50300</f>
        <v>50300</v>
      </c>
      <c r="Q122" s="31"/>
      <c r="R122" s="31"/>
      <c r="S122" s="31">
        <f>50255.9</f>
        <v>50255.9</v>
      </c>
      <c r="T122" s="31"/>
      <c r="U122" s="31"/>
      <c r="V122" s="31"/>
      <c r="W122" s="32">
        <f>44.1</f>
        <v>44.1</v>
      </c>
      <c r="X122" s="32"/>
    </row>
    <row r="123" spans="1:24" s="1" customFormat="1" ht="13.5" customHeight="1">
      <c r="A123" s="29" t="s">
        <v>103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30" t="s">
        <v>90</v>
      </c>
      <c r="M123" s="30"/>
      <c r="N123" s="30" t="s">
        <v>183</v>
      </c>
      <c r="O123" s="30"/>
      <c r="P123" s="31">
        <f>5000</f>
        <v>5000</v>
      </c>
      <c r="Q123" s="31"/>
      <c r="R123" s="31"/>
      <c r="S123" s="31">
        <f>5000</f>
        <v>5000</v>
      </c>
      <c r="T123" s="31"/>
      <c r="U123" s="31"/>
      <c r="V123" s="31"/>
      <c r="W123" s="32">
        <f>0</f>
        <v>0</v>
      </c>
      <c r="X123" s="32"/>
    </row>
    <row r="124" spans="1:24" s="1" customFormat="1" ht="13.5" customHeight="1">
      <c r="A124" s="29" t="s">
        <v>99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30" t="s">
        <v>90</v>
      </c>
      <c r="M124" s="30"/>
      <c r="N124" s="30" t="s">
        <v>184</v>
      </c>
      <c r="O124" s="30"/>
      <c r="P124" s="31">
        <f>1810400</f>
        <v>1810400</v>
      </c>
      <c r="Q124" s="31"/>
      <c r="R124" s="31"/>
      <c r="S124" s="31">
        <f>1808286.07</f>
        <v>1808286.07</v>
      </c>
      <c r="T124" s="31"/>
      <c r="U124" s="31"/>
      <c r="V124" s="31"/>
      <c r="W124" s="32">
        <f>2113.93</f>
        <v>2113.93</v>
      </c>
      <c r="X124" s="32"/>
    </row>
    <row r="125" spans="1:24" s="1" customFormat="1" ht="13.5" customHeight="1">
      <c r="A125" s="29" t="s">
        <v>101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30" t="s">
        <v>90</v>
      </c>
      <c r="M125" s="30"/>
      <c r="N125" s="30" t="s">
        <v>185</v>
      </c>
      <c r="O125" s="30"/>
      <c r="P125" s="31">
        <f>301200</f>
        <v>301200</v>
      </c>
      <c r="Q125" s="31"/>
      <c r="R125" s="31"/>
      <c r="S125" s="31">
        <f>301119.4</f>
        <v>301119.4</v>
      </c>
      <c r="T125" s="31"/>
      <c r="U125" s="31"/>
      <c r="V125" s="31"/>
      <c r="W125" s="32">
        <f>80.6</f>
        <v>80.6</v>
      </c>
      <c r="X125" s="32"/>
    </row>
    <row r="126" spans="1:24" s="1" customFormat="1" ht="13.5" customHeight="1">
      <c r="A126" s="29" t="s">
        <v>103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30" t="s">
        <v>90</v>
      </c>
      <c r="M126" s="30"/>
      <c r="N126" s="30" t="s">
        <v>186</v>
      </c>
      <c r="O126" s="30"/>
      <c r="P126" s="31">
        <f>40000</f>
        <v>40000</v>
      </c>
      <c r="Q126" s="31"/>
      <c r="R126" s="31"/>
      <c r="S126" s="31">
        <f>40000</f>
        <v>40000</v>
      </c>
      <c r="T126" s="31"/>
      <c r="U126" s="31"/>
      <c r="V126" s="31"/>
      <c r="W126" s="32">
        <f>0</f>
        <v>0</v>
      </c>
      <c r="X126" s="32"/>
    </row>
    <row r="127" spans="1:24" s="1" customFormat="1" ht="13.5" customHeight="1">
      <c r="A127" s="29" t="s">
        <v>105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30" t="s">
        <v>90</v>
      </c>
      <c r="M127" s="30"/>
      <c r="N127" s="30" t="s">
        <v>187</v>
      </c>
      <c r="O127" s="30"/>
      <c r="P127" s="31">
        <f>706400</f>
        <v>706400</v>
      </c>
      <c r="Q127" s="31"/>
      <c r="R127" s="31"/>
      <c r="S127" s="31">
        <f>706352.2</f>
        <v>706352.2</v>
      </c>
      <c r="T127" s="31"/>
      <c r="U127" s="31"/>
      <c r="V127" s="31"/>
      <c r="W127" s="32">
        <f>47.8</f>
        <v>47.8</v>
      </c>
      <c r="X127" s="32"/>
    </row>
    <row r="128" spans="1:24" s="1" customFormat="1" ht="13.5" customHeight="1">
      <c r="A128" s="29" t="s">
        <v>188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30" t="s">
        <v>90</v>
      </c>
      <c r="M128" s="30"/>
      <c r="N128" s="30" t="s">
        <v>189</v>
      </c>
      <c r="O128" s="30"/>
      <c r="P128" s="31">
        <f>10000</f>
        <v>10000</v>
      </c>
      <c r="Q128" s="31"/>
      <c r="R128" s="31"/>
      <c r="S128" s="33" t="s">
        <v>42</v>
      </c>
      <c r="T128" s="33"/>
      <c r="U128" s="33"/>
      <c r="V128" s="33"/>
      <c r="W128" s="32">
        <f>10000</f>
        <v>10000</v>
      </c>
      <c r="X128" s="32"/>
    </row>
    <row r="129" spans="1:24" s="1" customFormat="1" ht="13.5" customHeight="1">
      <c r="A129" s="29" t="s">
        <v>188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30" t="s">
        <v>90</v>
      </c>
      <c r="M129" s="30"/>
      <c r="N129" s="30" t="s">
        <v>190</v>
      </c>
      <c r="O129" s="30"/>
      <c r="P129" s="31">
        <f>100000</f>
        <v>100000</v>
      </c>
      <c r="Q129" s="31"/>
      <c r="R129" s="31"/>
      <c r="S129" s="31">
        <f>100000</f>
        <v>100000</v>
      </c>
      <c r="T129" s="31"/>
      <c r="U129" s="31"/>
      <c r="V129" s="31"/>
      <c r="W129" s="32">
        <f aca="true" t="shared" si="0" ref="W129:W135">0</f>
        <v>0</v>
      </c>
      <c r="X129" s="32"/>
    </row>
    <row r="130" spans="1:24" s="1" customFormat="1" ht="13.5" customHeight="1">
      <c r="A130" s="29" t="s">
        <v>188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30" t="s">
        <v>90</v>
      </c>
      <c r="M130" s="30"/>
      <c r="N130" s="30" t="s">
        <v>191</v>
      </c>
      <c r="O130" s="30"/>
      <c r="P130" s="31">
        <f>93800</f>
        <v>93800</v>
      </c>
      <c r="Q130" s="31"/>
      <c r="R130" s="31"/>
      <c r="S130" s="31">
        <f>93800</f>
        <v>93800</v>
      </c>
      <c r="T130" s="31"/>
      <c r="U130" s="31"/>
      <c r="V130" s="31"/>
      <c r="W130" s="32">
        <f t="shared" si="0"/>
        <v>0</v>
      </c>
      <c r="X130" s="32"/>
    </row>
    <row r="131" spans="1:24" s="1" customFormat="1" ht="13.5" customHeight="1">
      <c r="A131" s="29" t="s">
        <v>188</v>
      </c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30" t="s">
        <v>90</v>
      </c>
      <c r="M131" s="30"/>
      <c r="N131" s="30" t="s">
        <v>192</v>
      </c>
      <c r="O131" s="30"/>
      <c r="P131" s="31">
        <f>0</f>
        <v>0</v>
      </c>
      <c r="Q131" s="31"/>
      <c r="R131" s="31"/>
      <c r="S131" s="31">
        <f>0</f>
        <v>0</v>
      </c>
      <c r="T131" s="31"/>
      <c r="U131" s="31"/>
      <c r="V131" s="31"/>
      <c r="W131" s="32">
        <f t="shared" si="0"/>
        <v>0</v>
      </c>
      <c r="X131" s="32"/>
    </row>
    <row r="132" spans="1:24" s="1" customFormat="1" ht="13.5" customHeight="1">
      <c r="A132" s="29" t="s">
        <v>188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30" t="s">
        <v>90</v>
      </c>
      <c r="M132" s="30"/>
      <c r="N132" s="30" t="s">
        <v>193</v>
      </c>
      <c r="O132" s="30"/>
      <c r="P132" s="31">
        <f>1354100</f>
        <v>1354100</v>
      </c>
      <c r="Q132" s="31"/>
      <c r="R132" s="31"/>
      <c r="S132" s="31">
        <f>1354100</f>
        <v>1354100</v>
      </c>
      <c r="T132" s="31"/>
      <c r="U132" s="31"/>
      <c r="V132" s="31"/>
      <c r="W132" s="32">
        <f t="shared" si="0"/>
        <v>0</v>
      </c>
      <c r="X132" s="32"/>
    </row>
    <row r="133" spans="1:24" s="1" customFormat="1" ht="13.5" customHeight="1">
      <c r="A133" s="29" t="s">
        <v>188</v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30" t="s">
        <v>90</v>
      </c>
      <c r="M133" s="30"/>
      <c r="N133" s="30" t="s">
        <v>194</v>
      </c>
      <c r="O133" s="30"/>
      <c r="P133" s="31">
        <f>5711000</f>
        <v>5711000</v>
      </c>
      <c r="Q133" s="31"/>
      <c r="R133" s="31"/>
      <c r="S133" s="31">
        <f>5711000</f>
        <v>5711000</v>
      </c>
      <c r="T133" s="31"/>
      <c r="U133" s="31"/>
      <c r="V133" s="31"/>
      <c r="W133" s="32">
        <f t="shared" si="0"/>
        <v>0</v>
      </c>
      <c r="X133" s="32"/>
    </row>
    <row r="134" spans="1:24" s="1" customFormat="1" ht="13.5" customHeight="1">
      <c r="A134" s="29" t="s">
        <v>188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30" t="s">
        <v>90</v>
      </c>
      <c r="M134" s="30"/>
      <c r="N134" s="30" t="s">
        <v>195</v>
      </c>
      <c r="O134" s="30"/>
      <c r="P134" s="31">
        <f>30000</f>
        <v>30000</v>
      </c>
      <c r="Q134" s="31"/>
      <c r="R134" s="31"/>
      <c r="S134" s="31">
        <f>30000</f>
        <v>30000</v>
      </c>
      <c r="T134" s="31"/>
      <c r="U134" s="31"/>
      <c r="V134" s="31"/>
      <c r="W134" s="32">
        <f t="shared" si="0"/>
        <v>0</v>
      </c>
      <c r="X134" s="32"/>
    </row>
    <row r="135" spans="1:24" s="1" customFormat="1" ht="13.5" customHeight="1">
      <c r="A135" s="29" t="s">
        <v>101</v>
      </c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30" t="s">
        <v>90</v>
      </c>
      <c r="M135" s="30"/>
      <c r="N135" s="30" t="s">
        <v>196</v>
      </c>
      <c r="O135" s="30"/>
      <c r="P135" s="31">
        <f>96400</f>
        <v>96400</v>
      </c>
      <c r="Q135" s="31"/>
      <c r="R135" s="31"/>
      <c r="S135" s="31">
        <f>96400</f>
        <v>96400</v>
      </c>
      <c r="T135" s="31"/>
      <c r="U135" s="31"/>
      <c r="V135" s="31"/>
      <c r="W135" s="32">
        <f t="shared" si="0"/>
        <v>0</v>
      </c>
      <c r="X135" s="32"/>
    </row>
    <row r="136" spans="1:24" s="1" customFormat="1" ht="13.5" customHeight="1">
      <c r="A136" s="29" t="s">
        <v>107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30" t="s">
        <v>90</v>
      </c>
      <c r="M136" s="30"/>
      <c r="N136" s="30" t="s">
        <v>197</v>
      </c>
      <c r="O136" s="30"/>
      <c r="P136" s="31">
        <f>75300</f>
        <v>75300</v>
      </c>
      <c r="Q136" s="31"/>
      <c r="R136" s="31"/>
      <c r="S136" s="31">
        <f>75250</f>
        <v>75250</v>
      </c>
      <c r="T136" s="31"/>
      <c r="U136" s="31"/>
      <c r="V136" s="31"/>
      <c r="W136" s="32">
        <f>50</f>
        <v>50</v>
      </c>
      <c r="X136" s="32"/>
    </row>
    <row r="137" spans="1:24" s="1" customFormat="1" ht="13.5" customHeight="1">
      <c r="A137" s="29" t="s">
        <v>105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30" t="s">
        <v>90</v>
      </c>
      <c r="M137" s="30"/>
      <c r="N137" s="30" t="s">
        <v>198</v>
      </c>
      <c r="O137" s="30"/>
      <c r="P137" s="31">
        <f>85700</f>
        <v>85700</v>
      </c>
      <c r="Q137" s="31"/>
      <c r="R137" s="31"/>
      <c r="S137" s="31">
        <f>85140</f>
        <v>85140</v>
      </c>
      <c r="T137" s="31"/>
      <c r="U137" s="31"/>
      <c r="V137" s="31"/>
      <c r="W137" s="32">
        <f>560</f>
        <v>560</v>
      </c>
      <c r="X137" s="32"/>
    </row>
    <row r="138" spans="1:24" s="1" customFormat="1" ht="13.5" customHeight="1">
      <c r="A138" s="29" t="s">
        <v>101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30" t="s">
        <v>90</v>
      </c>
      <c r="M138" s="30"/>
      <c r="N138" s="30" t="s">
        <v>199</v>
      </c>
      <c r="O138" s="30"/>
      <c r="P138" s="31">
        <f>62200</f>
        <v>62200</v>
      </c>
      <c r="Q138" s="31"/>
      <c r="R138" s="31"/>
      <c r="S138" s="31">
        <f>25446.48</f>
        <v>25446.48</v>
      </c>
      <c r="T138" s="31"/>
      <c r="U138" s="31"/>
      <c r="V138" s="31"/>
      <c r="W138" s="32">
        <f>36753.52</f>
        <v>36753.52</v>
      </c>
      <c r="X138" s="32"/>
    </row>
    <row r="139" spans="1:24" s="1" customFormat="1" ht="13.5" customHeight="1">
      <c r="A139" s="29" t="s">
        <v>107</v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30" t="s">
        <v>90</v>
      </c>
      <c r="M139" s="30"/>
      <c r="N139" s="30" t="s">
        <v>200</v>
      </c>
      <c r="O139" s="30"/>
      <c r="P139" s="31">
        <f>37800</f>
        <v>37800</v>
      </c>
      <c r="Q139" s="31"/>
      <c r="R139" s="31"/>
      <c r="S139" s="31">
        <f>37780</f>
        <v>37780</v>
      </c>
      <c r="T139" s="31"/>
      <c r="U139" s="31"/>
      <c r="V139" s="31"/>
      <c r="W139" s="32">
        <f>20</f>
        <v>20</v>
      </c>
      <c r="X139" s="32"/>
    </row>
    <row r="140" spans="1:24" s="1" customFormat="1" ht="13.5" customHeight="1">
      <c r="A140" s="29" t="s">
        <v>105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30" t="s">
        <v>90</v>
      </c>
      <c r="M140" s="30"/>
      <c r="N140" s="30" t="s">
        <v>201</v>
      </c>
      <c r="O140" s="30"/>
      <c r="P140" s="31">
        <f>60000</f>
        <v>60000</v>
      </c>
      <c r="Q140" s="31"/>
      <c r="R140" s="31"/>
      <c r="S140" s="31">
        <f>49120</f>
        <v>49120</v>
      </c>
      <c r="T140" s="31"/>
      <c r="U140" s="31"/>
      <c r="V140" s="31"/>
      <c r="W140" s="32">
        <f>10880</f>
        <v>10880</v>
      </c>
      <c r="X140" s="32"/>
    </row>
    <row r="141" spans="1:24" s="1" customFormat="1" ht="13.5" customHeight="1">
      <c r="A141" s="29" t="s">
        <v>105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30" t="s">
        <v>90</v>
      </c>
      <c r="M141" s="30"/>
      <c r="N141" s="30" t="s">
        <v>202</v>
      </c>
      <c r="O141" s="30"/>
      <c r="P141" s="31">
        <f>100000</f>
        <v>100000</v>
      </c>
      <c r="Q141" s="31"/>
      <c r="R141" s="31"/>
      <c r="S141" s="33" t="s">
        <v>42</v>
      </c>
      <c r="T141" s="33"/>
      <c r="U141" s="33"/>
      <c r="V141" s="33"/>
      <c r="W141" s="32">
        <f>100000</f>
        <v>100000</v>
      </c>
      <c r="X141" s="32"/>
    </row>
    <row r="142" spans="1:24" s="1" customFormat="1" ht="13.5" customHeight="1">
      <c r="A142" s="29" t="s">
        <v>107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30" t="s">
        <v>90</v>
      </c>
      <c r="M142" s="30"/>
      <c r="N142" s="30" t="s">
        <v>203</v>
      </c>
      <c r="O142" s="30"/>
      <c r="P142" s="31">
        <f>73500</f>
        <v>73500</v>
      </c>
      <c r="Q142" s="31"/>
      <c r="R142" s="31"/>
      <c r="S142" s="31">
        <f>71596</f>
        <v>71596</v>
      </c>
      <c r="T142" s="31"/>
      <c r="U142" s="31"/>
      <c r="V142" s="31"/>
      <c r="W142" s="32">
        <f>1904</f>
        <v>1904</v>
      </c>
      <c r="X142" s="32"/>
    </row>
    <row r="143" spans="1:24" s="1" customFormat="1" ht="13.5" customHeight="1">
      <c r="A143" s="29" t="s">
        <v>105</v>
      </c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30" t="s">
        <v>90</v>
      </c>
      <c r="M143" s="30"/>
      <c r="N143" s="30" t="s">
        <v>204</v>
      </c>
      <c r="O143" s="30"/>
      <c r="P143" s="31">
        <f>9100</f>
        <v>9100</v>
      </c>
      <c r="Q143" s="31"/>
      <c r="R143" s="31"/>
      <c r="S143" s="33" t="s">
        <v>42</v>
      </c>
      <c r="T143" s="33"/>
      <c r="U143" s="33"/>
      <c r="V143" s="33"/>
      <c r="W143" s="32">
        <f>9100</f>
        <v>9100</v>
      </c>
      <c r="X143" s="32"/>
    </row>
    <row r="144" spans="1:24" s="1" customFormat="1" ht="24" customHeight="1">
      <c r="A144" s="29" t="s">
        <v>205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30" t="s">
        <v>90</v>
      </c>
      <c r="M144" s="30"/>
      <c r="N144" s="30" t="s">
        <v>206</v>
      </c>
      <c r="O144" s="30"/>
      <c r="P144" s="31">
        <f>120900</f>
        <v>120900</v>
      </c>
      <c r="Q144" s="31"/>
      <c r="R144" s="31"/>
      <c r="S144" s="31">
        <f>100515.17</f>
        <v>100515.17</v>
      </c>
      <c r="T144" s="31"/>
      <c r="U144" s="31"/>
      <c r="V144" s="31"/>
      <c r="W144" s="32">
        <f>20384.83</f>
        <v>20384.83</v>
      </c>
      <c r="X144" s="32"/>
    </row>
    <row r="145" spans="1:24" s="1" customFormat="1" ht="13.5" customHeight="1">
      <c r="A145" s="29" t="s">
        <v>113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30" t="s">
        <v>90</v>
      </c>
      <c r="M145" s="30"/>
      <c r="N145" s="30" t="s">
        <v>207</v>
      </c>
      <c r="O145" s="30"/>
      <c r="P145" s="31">
        <f>97500</f>
        <v>97500</v>
      </c>
      <c r="Q145" s="31"/>
      <c r="R145" s="31"/>
      <c r="S145" s="31">
        <f>97500</f>
        <v>97500</v>
      </c>
      <c r="T145" s="31"/>
      <c r="U145" s="31"/>
      <c r="V145" s="31"/>
      <c r="W145" s="32">
        <f>0</f>
        <v>0</v>
      </c>
      <c r="X145" s="32"/>
    </row>
    <row r="146" spans="1:24" s="1" customFormat="1" ht="13.5" customHeight="1">
      <c r="A146" s="29" t="s">
        <v>188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30" t="s">
        <v>90</v>
      </c>
      <c r="M146" s="30"/>
      <c r="N146" s="30" t="s">
        <v>208</v>
      </c>
      <c r="O146" s="30"/>
      <c r="P146" s="31">
        <f>1172500</f>
        <v>1172500</v>
      </c>
      <c r="Q146" s="31"/>
      <c r="R146" s="31"/>
      <c r="S146" s="31">
        <f>1172500</f>
        <v>1172500</v>
      </c>
      <c r="T146" s="31"/>
      <c r="U146" s="31"/>
      <c r="V146" s="31"/>
      <c r="W146" s="32">
        <f>0</f>
        <v>0</v>
      </c>
      <c r="X146" s="32"/>
    </row>
    <row r="147" spans="1:24" s="1" customFormat="1" ht="13.5" customHeight="1">
      <c r="A147" s="29" t="s">
        <v>101</v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30" t="s">
        <v>90</v>
      </c>
      <c r="M147" s="30"/>
      <c r="N147" s="30" t="s">
        <v>209</v>
      </c>
      <c r="O147" s="30"/>
      <c r="P147" s="31">
        <f>234900</f>
        <v>234900</v>
      </c>
      <c r="Q147" s="31"/>
      <c r="R147" s="31"/>
      <c r="S147" s="31">
        <f>176792</f>
        <v>176792</v>
      </c>
      <c r="T147" s="31"/>
      <c r="U147" s="31"/>
      <c r="V147" s="31"/>
      <c r="W147" s="32">
        <f>58108</f>
        <v>58108</v>
      </c>
      <c r="X147" s="32"/>
    </row>
    <row r="148" spans="1:24" s="1" customFormat="1" ht="13.5" customHeight="1">
      <c r="A148" s="29" t="s">
        <v>105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30" t="s">
        <v>90</v>
      </c>
      <c r="M148" s="30"/>
      <c r="N148" s="30" t="s">
        <v>210</v>
      </c>
      <c r="O148" s="30"/>
      <c r="P148" s="31">
        <f>220100</f>
        <v>220100</v>
      </c>
      <c r="Q148" s="31"/>
      <c r="R148" s="31"/>
      <c r="S148" s="31">
        <f>220100</f>
        <v>220100</v>
      </c>
      <c r="T148" s="31"/>
      <c r="U148" s="31"/>
      <c r="V148" s="31"/>
      <c r="W148" s="32">
        <f>0</f>
        <v>0</v>
      </c>
      <c r="X148" s="32"/>
    </row>
    <row r="149" spans="1:24" s="1" customFormat="1" ht="13.5" customHeight="1">
      <c r="A149" s="29" t="s">
        <v>211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30" t="s">
        <v>90</v>
      </c>
      <c r="M149" s="30"/>
      <c r="N149" s="30" t="s">
        <v>212</v>
      </c>
      <c r="O149" s="30"/>
      <c r="P149" s="31">
        <f>4005.53</f>
        <v>4005.53</v>
      </c>
      <c r="Q149" s="31"/>
      <c r="R149" s="31"/>
      <c r="S149" s="31">
        <f>535.67</f>
        <v>535.67</v>
      </c>
      <c r="T149" s="31"/>
      <c r="U149" s="31"/>
      <c r="V149" s="31"/>
      <c r="W149" s="32">
        <f>3469.86</f>
        <v>3469.86</v>
      </c>
      <c r="X149" s="32"/>
    </row>
    <row r="150" spans="1:24" s="1" customFormat="1" ht="15" customHeight="1">
      <c r="A150" s="34" t="s">
        <v>213</v>
      </c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5" t="s">
        <v>214</v>
      </c>
      <c r="M150" s="35"/>
      <c r="N150" s="35" t="s">
        <v>37</v>
      </c>
      <c r="O150" s="35"/>
      <c r="P150" s="36">
        <f>-8824305.53</f>
        <v>-8824305.53</v>
      </c>
      <c r="Q150" s="36"/>
      <c r="R150" s="36"/>
      <c r="S150" s="36">
        <f>-4666804.04</f>
        <v>-4666804.04</v>
      </c>
      <c r="T150" s="36"/>
      <c r="U150" s="36"/>
      <c r="V150" s="36"/>
      <c r="W150" s="37" t="s">
        <v>37</v>
      </c>
      <c r="X150" s="37"/>
    </row>
    <row r="151" spans="1:24" s="1" customFormat="1" ht="13.5" customHeight="1">
      <c r="A151" s="7" t="s">
        <v>13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</row>
    <row r="152" spans="1:24" s="1" customFormat="1" ht="13.5" customHeight="1">
      <c r="A152" s="12" t="s">
        <v>215</v>
      </c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s="1" customFormat="1" ht="45.75" customHeight="1">
      <c r="A153" s="13" t="s">
        <v>23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 t="s">
        <v>24</v>
      </c>
      <c r="M153" s="13"/>
      <c r="N153" s="13" t="s">
        <v>216</v>
      </c>
      <c r="O153" s="13"/>
      <c r="P153" s="14" t="s">
        <v>26</v>
      </c>
      <c r="Q153" s="14"/>
      <c r="R153" s="14"/>
      <c r="S153" s="14" t="s">
        <v>27</v>
      </c>
      <c r="T153" s="14"/>
      <c r="U153" s="14"/>
      <c r="V153" s="14"/>
      <c r="W153" s="15" t="s">
        <v>28</v>
      </c>
      <c r="X153" s="15"/>
    </row>
    <row r="154" spans="1:24" s="1" customFormat="1" ht="12.75" customHeight="1">
      <c r="A154" s="16" t="s">
        <v>29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 t="s">
        <v>30</v>
      </c>
      <c r="M154" s="16"/>
      <c r="N154" s="16" t="s">
        <v>31</v>
      </c>
      <c r="O154" s="16"/>
      <c r="P154" s="17" t="s">
        <v>32</v>
      </c>
      <c r="Q154" s="17"/>
      <c r="R154" s="17"/>
      <c r="S154" s="17" t="s">
        <v>33</v>
      </c>
      <c r="T154" s="17"/>
      <c r="U154" s="17"/>
      <c r="V154" s="17"/>
      <c r="W154" s="18" t="s">
        <v>34</v>
      </c>
      <c r="X154" s="18"/>
    </row>
    <row r="155" spans="1:24" s="1" customFormat="1" ht="13.5" customHeight="1">
      <c r="A155" s="19" t="s">
        <v>217</v>
      </c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20" t="s">
        <v>218</v>
      </c>
      <c r="M155" s="20"/>
      <c r="N155" s="20" t="s">
        <v>37</v>
      </c>
      <c r="O155" s="20"/>
      <c r="P155" s="38">
        <f>8824305.53</f>
        <v>8824305.53</v>
      </c>
      <c r="Q155" s="38"/>
      <c r="R155" s="38"/>
      <c r="S155" s="21">
        <f>4666804.04</f>
        <v>4666804.04</v>
      </c>
      <c r="T155" s="21"/>
      <c r="U155" s="21"/>
      <c r="V155" s="21"/>
      <c r="W155" s="39">
        <f>4157501.49</f>
        <v>4157501.49</v>
      </c>
      <c r="X155" s="39"/>
    </row>
    <row r="156" spans="1:24" s="1" customFormat="1" ht="13.5" customHeight="1">
      <c r="A156" s="40" t="s">
        <v>219</v>
      </c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1" t="s">
        <v>13</v>
      </c>
      <c r="M156" s="41"/>
      <c r="N156" s="41" t="s">
        <v>13</v>
      </c>
      <c r="O156" s="41"/>
      <c r="P156" s="42" t="s">
        <v>13</v>
      </c>
      <c r="Q156" s="42"/>
      <c r="R156" s="42"/>
      <c r="S156" s="43" t="s">
        <v>13</v>
      </c>
      <c r="T156" s="43"/>
      <c r="U156" s="43"/>
      <c r="V156" s="43"/>
      <c r="W156" s="44" t="s">
        <v>13</v>
      </c>
      <c r="X156" s="44"/>
    </row>
    <row r="157" spans="1:24" s="1" customFormat="1" ht="13.5" customHeight="1">
      <c r="A157" s="23" t="s">
        <v>220</v>
      </c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45" t="s">
        <v>221</v>
      </c>
      <c r="M157" s="45"/>
      <c r="N157" s="24" t="s">
        <v>37</v>
      </c>
      <c r="O157" s="24"/>
      <c r="P157" s="46">
        <f>3834000</f>
        <v>3834000</v>
      </c>
      <c r="Q157" s="46"/>
      <c r="R157" s="46"/>
      <c r="S157" s="25">
        <f>2080000</f>
        <v>2080000</v>
      </c>
      <c r="T157" s="25"/>
      <c r="U157" s="25"/>
      <c r="V157" s="25"/>
      <c r="W157" s="47">
        <f>1754000</f>
        <v>1754000</v>
      </c>
      <c r="X157" s="47"/>
    </row>
    <row r="158" spans="1:24" s="1" customFormat="1" ht="24" customHeight="1">
      <c r="A158" s="29" t="s">
        <v>222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30" t="s">
        <v>221</v>
      </c>
      <c r="M158" s="30"/>
      <c r="N158" s="30" t="s">
        <v>223</v>
      </c>
      <c r="O158" s="30"/>
      <c r="P158" s="48">
        <f>3834000</f>
        <v>3834000</v>
      </c>
      <c r="Q158" s="48"/>
      <c r="R158" s="48"/>
      <c r="S158" s="31">
        <f>2080000</f>
        <v>2080000</v>
      </c>
      <c r="T158" s="31"/>
      <c r="U158" s="31"/>
      <c r="V158" s="31"/>
      <c r="W158" s="49">
        <f>1754000</f>
        <v>1754000</v>
      </c>
      <c r="X158" s="49"/>
    </row>
    <row r="159" spans="1:24" s="1" customFormat="1" ht="0.75" customHeight="1">
      <c r="A159" s="50" t="s">
        <v>13</v>
      </c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</row>
    <row r="160" spans="1:24" s="1" customFormat="1" ht="13.5" customHeight="1">
      <c r="A160" s="29" t="s">
        <v>224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41" t="s">
        <v>225</v>
      </c>
      <c r="M160" s="41"/>
      <c r="N160" s="41" t="s">
        <v>37</v>
      </c>
      <c r="O160" s="41"/>
      <c r="P160" s="42" t="s">
        <v>42</v>
      </c>
      <c r="Q160" s="42"/>
      <c r="R160" s="42"/>
      <c r="S160" s="33" t="s">
        <v>42</v>
      </c>
      <c r="T160" s="33"/>
      <c r="U160" s="33"/>
      <c r="V160" s="33"/>
      <c r="W160" s="44" t="s">
        <v>42</v>
      </c>
      <c r="X160" s="44"/>
    </row>
    <row r="161" spans="1:24" s="1" customFormat="1" ht="13.5" customHeight="1">
      <c r="A161" s="29" t="s">
        <v>13</v>
      </c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30" t="s">
        <v>225</v>
      </c>
      <c r="M161" s="30"/>
      <c r="N161" s="30" t="s">
        <v>13</v>
      </c>
      <c r="O161" s="30"/>
      <c r="P161" s="51" t="s">
        <v>42</v>
      </c>
      <c r="Q161" s="51"/>
      <c r="R161" s="51"/>
      <c r="S161" s="33" t="s">
        <v>42</v>
      </c>
      <c r="T161" s="33"/>
      <c r="U161" s="33"/>
      <c r="V161" s="33"/>
      <c r="W161" s="52" t="s">
        <v>42</v>
      </c>
      <c r="X161" s="52"/>
    </row>
    <row r="162" spans="1:24" s="1" customFormat="1" ht="13.5" customHeight="1">
      <c r="A162" s="29" t="s">
        <v>226</v>
      </c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30" t="s">
        <v>227</v>
      </c>
      <c r="M162" s="30"/>
      <c r="N162" s="30" t="s">
        <v>228</v>
      </c>
      <c r="O162" s="30"/>
      <c r="P162" s="48">
        <f>4990305.53</f>
        <v>4990305.53</v>
      </c>
      <c r="Q162" s="48"/>
      <c r="R162" s="48"/>
      <c r="S162" s="31">
        <f>2586804.04</f>
        <v>2586804.04</v>
      </c>
      <c r="T162" s="31"/>
      <c r="U162" s="31"/>
      <c r="V162" s="31"/>
      <c r="W162" s="49">
        <f>2403501.49</f>
        <v>2403501.49</v>
      </c>
      <c r="X162" s="49"/>
    </row>
    <row r="163" spans="1:24" s="1" customFormat="1" ht="13.5" customHeight="1">
      <c r="A163" s="29" t="s">
        <v>229</v>
      </c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30" t="s">
        <v>230</v>
      </c>
      <c r="M163" s="30"/>
      <c r="N163" s="30" t="s">
        <v>231</v>
      </c>
      <c r="O163" s="30"/>
      <c r="P163" s="48">
        <f>-36915800</f>
        <v>-36915800</v>
      </c>
      <c r="Q163" s="48"/>
      <c r="R163" s="48"/>
      <c r="S163" s="31">
        <f>-32255472.52</f>
        <v>-32255472.52</v>
      </c>
      <c r="T163" s="31"/>
      <c r="U163" s="31"/>
      <c r="V163" s="31"/>
      <c r="W163" s="53" t="s">
        <v>37</v>
      </c>
      <c r="X163" s="53"/>
    </row>
    <row r="164" spans="1:24" s="1" customFormat="1" ht="13.5" customHeight="1">
      <c r="A164" s="29" t="s">
        <v>232</v>
      </c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30" t="s">
        <v>233</v>
      </c>
      <c r="M164" s="30"/>
      <c r="N164" s="30" t="s">
        <v>234</v>
      </c>
      <c r="O164" s="30"/>
      <c r="P164" s="48">
        <f>41906105.53</f>
        <v>41906105.53</v>
      </c>
      <c r="Q164" s="48"/>
      <c r="R164" s="48"/>
      <c r="S164" s="31">
        <f>34842276.56</f>
        <v>34842276.56</v>
      </c>
      <c r="T164" s="31"/>
      <c r="U164" s="31"/>
      <c r="V164" s="31"/>
      <c r="W164" s="53" t="s">
        <v>37</v>
      </c>
      <c r="X164" s="53"/>
    </row>
    <row r="165" spans="1:24" s="1" customFormat="1" ht="13.5" customHeight="1">
      <c r="A165" s="55" t="s">
        <v>13</v>
      </c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</row>
    <row r="166" spans="1:24" s="1" customFormat="1" ht="13.5" customHeight="1">
      <c r="A166" s="7" t="s">
        <v>13</v>
      </c>
      <c r="B166" s="7"/>
      <c r="C166" s="7"/>
      <c r="D166" s="7"/>
      <c r="E166" s="7"/>
      <c r="F166" s="7"/>
      <c r="G166" s="7"/>
      <c r="H166" s="7"/>
      <c r="I166" s="54" t="s">
        <v>13</v>
      </c>
      <c r="J166" s="54"/>
      <c r="K166" s="54"/>
      <c r="L166" s="54"/>
      <c r="M166" s="54"/>
      <c r="N166" s="54" t="s">
        <v>235</v>
      </c>
      <c r="O166" s="54"/>
      <c r="P166" s="54"/>
      <c r="Q166" s="54"/>
      <c r="R166" s="7" t="s">
        <v>13</v>
      </c>
      <c r="S166" s="7"/>
      <c r="T166" s="7"/>
      <c r="U166" s="7"/>
      <c r="V166" s="7"/>
      <c r="W166" s="7"/>
      <c r="X166" s="7"/>
    </row>
    <row r="167" spans="1:24" s="1" customFormat="1" ht="13.5" customHeight="1">
      <c r="A167" s="7" t="s">
        <v>13</v>
      </c>
      <c r="B167" s="7"/>
      <c r="C167" s="7"/>
      <c r="D167" s="7"/>
      <c r="E167" s="7"/>
      <c r="F167" s="7"/>
      <c r="G167" s="7"/>
      <c r="H167" s="7"/>
      <c r="I167" s="10" t="s">
        <v>13</v>
      </c>
      <c r="J167" s="56" t="s">
        <v>236</v>
      </c>
      <c r="K167" s="56"/>
      <c r="L167" s="56"/>
      <c r="M167" s="10" t="s">
        <v>13</v>
      </c>
      <c r="N167" s="10" t="s">
        <v>13</v>
      </c>
      <c r="O167" s="56" t="s">
        <v>237</v>
      </c>
      <c r="P167" s="56"/>
      <c r="Q167" s="7" t="s">
        <v>13</v>
      </c>
      <c r="R167" s="7"/>
      <c r="S167" s="7"/>
      <c r="T167" s="7"/>
      <c r="U167" s="7"/>
      <c r="V167" s="7"/>
      <c r="W167" s="7"/>
      <c r="X167" s="7"/>
    </row>
    <row r="168" spans="1:24" s="1" customFormat="1" ht="7.5" customHeight="1">
      <c r="A168" s="7" t="s">
        <v>13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</row>
    <row r="169" spans="1:24" s="1" customFormat="1" ht="13.5" customHeight="1">
      <c r="A169" s="7" t="s">
        <v>13</v>
      </c>
      <c r="B169" s="7"/>
      <c r="C169" s="7"/>
      <c r="D169" s="7"/>
      <c r="E169" s="7"/>
      <c r="F169" s="7"/>
      <c r="G169" s="7"/>
      <c r="H169" s="7"/>
      <c r="I169" s="54" t="s">
        <v>13</v>
      </c>
      <c r="J169" s="54"/>
      <c r="K169" s="54"/>
      <c r="L169" s="54"/>
      <c r="M169" s="54"/>
      <c r="N169" s="54" t="s">
        <v>238</v>
      </c>
      <c r="O169" s="54"/>
      <c r="P169" s="54"/>
      <c r="Q169" s="54"/>
      <c r="R169" s="7" t="s">
        <v>13</v>
      </c>
      <c r="S169" s="7"/>
      <c r="T169" s="7"/>
      <c r="U169" s="7"/>
      <c r="V169" s="7"/>
      <c r="W169" s="7"/>
      <c r="X169" s="7"/>
    </row>
    <row r="170" spans="1:24" s="1" customFormat="1" ht="13.5" customHeight="1">
      <c r="A170" s="7" t="s">
        <v>13</v>
      </c>
      <c r="B170" s="7"/>
      <c r="C170" s="7"/>
      <c r="D170" s="7"/>
      <c r="E170" s="7"/>
      <c r="F170" s="7"/>
      <c r="G170" s="7"/>
      <c r="H170" s="7"/>
      <c r="I170" s="10" t="s">
        <v>13</v>
      </c>
      <c r="J170" s="56" t="s">
        <v>236</v>
      </c>
      <c r="K170" s="56"/>
      <c r="L170" s="56"/>
      <c r="M170" s="10" t="s">
        <v>13</v>
      </c>
      <c r="N170" s="10" t="s">
        <v>13</v>
      </c>
      <c r="O170" s="56" t="s">
        <v>237</v>
      </c>
      <c r="P170" s="56"/>
      <c r="Q170" s="7" t="s">
        <v>13</v>
      </c>
      <c r="R170" s="7"/>
      <c r="S170" s="7"/>
      <c r="T170" s="7"/>
      <c r="U170" s="7"/>
      <c r="V170" s="7"/>
      <c r="W170" s="7"/>
      <c r="X170" s="7"/>
    </row>
    <row r="171" spans="1:24" s="1" customFormat="1" ht="7.5" customHeight="1">
      <c r="A171" s="7" t="s">
        <v>13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</row>
    <row r="172" spans="1:24" s="1" customFormat="1" ht="13.5" customHeight="1">
      <c r="A172" s="7" t="s">
        <v>239</v>
      </c>
      <c r="B172" s="7"/>
      <c r="C172" s="54" t="s">
        <v>13</v>
      </c>
      <c r="D172" s="54"/>
      <c r="E172" s="54"/>
      <c r="F172" s="54"/>
      <c r="G172" s="54"/>
      <c r="H172" s="54"/>
      <c r="I172" s="54" t="s">
        <v>13</v>
      </c>
      <c r="J172" s="54"/>
      <c r="K172" s="54"/>
      <c r="L172" s="54"/>
      <c r="M172" s="54"/>
      <c r="N172" s="54" t="s">
        <v>240</v>
      </c>
      <c r="O172" s="54"/>
      <c r="P172" s="54"/>
      <c r="Q172" s="54"/>
      <c r="R172" s="7" t="s">
        <v>13</v>
      </c>
      <c r="S172" s="7"/>
      <c r="T172" s="7"/>
      <c r="U172" s="7"/>
      <c r="V172" s="7"/>
      <c r="W172" s="7"/>
      <c r="X172" s="7"/>
    </row>
    <row r="173" spans="1:24" s="1" customFormat="1" ht="13.5" customHeight="1">
      <c r="A173" s="7" t="s">
        <v>13</v>
      </c>
      <c r="B173" s="7"/>
      <c r="C173" s="10" t="s">
        <v>13</v>
      </c>
      <c r="D173" s="56" t="s">
        <v>241</v>
      </c>
      <c r="E173" s="56"/>
      <c r="F173" s="56"/>
      <c r="G173" s="56"/>
      <c r="H173" s="10" t="s">
        <v>13</v>
      </c>
      <c r="I173" s="10" t="s">
        <v>13</v>
      </c>
      <c r="J173" s="56" t="s">
        <v>236</v>
      </c>
      <c r="K173" s="56"/>
      <c r="L173" s="56"/>
      <c r="M173" s="10" t="s">
        <v>13</v>
      </c>
      <c r="N173" s="10" t="s">
        <v>13</v>
      </c>
      <c r="O173" s="56" t="s">
        <v>237</v>
      </c>
      <c r="P173" s="56"/>
      <c r="Q173" s="7" t="s">
        <v>13</v>
      </c>
      <c r="R173" s="7"/>
      <c r="S173" s="7"/>
      <c r="T173" s="7"/>
      <c r="U173" s="7"/>
      <c r="V173" s="7"/>
      <c r="W173" s="7"/>
      <c r="X173" s="7"/>
    </row>
    <row r="174" spans="1:24" s="1" customFormat="1" ht="15.75" customHeight="1">
      <c r="A174" s="7" t="s">
        <v>13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</row>
    <row r="175" spans="1:24" s="1" customFormat="1" ht="13.5" customHeight="1">
      <c r="A175" s="57" t="s">
        <v>242</v>
      </c>
      <c r="B175" s="57"/>
      <c r="C175" s="57"/>
      <c r="D175" s="57"/>
      <c r="E175" s="57"/>
      <c r="F175" s="57"/>
      <c r="G175" s="57"/>
      <c r="H175" s="57"/>
      <c r="I175" s="57"/>
      <c r="J175" s="57"/>
      <c r="K175" s="7" t="s">
        <v>13</v>
      </c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</row>
    <row r="176" spans="1:24" s="1" customFormat="1" ht="13.5" customHeight="1">
      <c r="A176" s="4" t="s">
        <v>243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</sheetData>
  <sheetProtection/>
  <mergeCells count="954">
    <mergeCell ref="A175:J175"/>
    <mergeCell ref="K175:X175"/>
    <mergeCell ref="A176:X176"/>
    <mergeCell ref="A173:B173"/>
    <mergeCell ref="D173:G173"/>
    <mergeCell ref="J173:L173"/>
    <mergeCell ref="O173:P173"/>
    <mergeCell ref="Q173:X173"/>
    <mergeCell ref="A174:X174"/>
    <mergeCell ref="A171:X171"/>
    <mergeCell ref="A172:B172"/>
    <mergeCell ref="C172:H172"/>
    <mergeCell ref="I172:M172"/>
    <mergeCell ref="N172:Q172"/>
    <mergeCell ref="R172:X172"/>
    <mergeCell ref="A168:X168"/>
    <mergeCell ref="A169:H169"/>
    <mergeCell ref="I169:M169"/>
    <mergeCell ref="N169:Q169"/>
    <mergeCell ref="R169:X169"/>
    <mergeCell ref="A170:H170"/>
    <mergeCell ref="J170:L170"/>
    <mergeCell ref="O170:P170"/>
    <mergeCell ref="Q170:X170"/>
    <mergeCell ref="A165:X165"/>
    <mergeCell ref="A166:H166"/>
    <mergeCell ref="I166:M166"/>
    <mergeCell ref="N166:Q166"/>
    <mergeCell ref="R166:X166"/>
    <mergeCell ref="A167:H167"/>
    <mergeCell ref="J167:L167"/>
    <mergeCell ref="O167:P167"/>
    <mergeCell ref="Q167:X167"/>
    <mergeCell ref="A164:K164"/>
    <mergeCell ref="L164:M164"/>
    <mergeCell ref="N164:O164"/>
    <mergeCell ref="P164:R164"/>
    <mergeCell ref="S164:V164"/>
    <mergeCell ref="W164:X164"/>
    <mergeCell ref="A163:K163"/>
    <mergeCell ref="L163:M163"/>
    <mergeCell ref="N163:O163"/>
    <mergeCell ref="P163:R163"/>
    <mergeCell ref="S163:V163"/>
    <mergeCell ref="W163:X163"/>
    <mergeCell ref="A162:K162"/>
    <mergeCell ref="L162:M162"/>
    <mergeCell ref="N162:O162"/>
    <mergeCell ref="P162:R162"/>
    <mergeCell ref="S162:V162"/>
    <mergeCell ref="W162:X162"/>
    <mergeCell ref="A161:K161"/>
    <mergeCell ref="L161:M161"/>
    <mergeCell ref="N161:O161"/>
    <mergeCell ref="P161:R161"/>
    <mergeCell ref="S161:V161"/>
    <mergeCell ref="W161:X161"/>
    <mergeCell ref="A159:X159"/>
    <mergeCell ref="A160:K160"/>
    <mergeCell ref="L160:M160"/>
    <mergeCell ref="N160:O160"/>
    <mergeCell ref="P160:R160"/>
    <mergeCell ref="S160:V160"/>
    <mergeCell ref="W160:X160"/>
    <mergeCell ref="A158:K158"/>
    <mergeCell ref="L158:M158"/>
    <mergeCell ref="N158:O158"/>
    <mergeCell ref="P158:R158"/>
    <mergeCell ref="S158:V158"/>
    <mergeCell ref="W158:X158"/>
    <mergeCell ref="A157:K157"/>
    <mergeCell ref="L157:M157"/>
    <mergeCell ref="N157:O157"/>
    <mergeCell ref="P157:R157"/>
    <mergeCell ref="S157:V157"/>
    <mergeCell ref="W157:X157"/>
    <mergeCell ref="A156:K156"/>
    <mergeCell ref="L156:M156"/>
    <mergeCell ref="N156:O156"/>
    <mergeCell ref="P156:R156"/>
    <mergeCell ref="S156:V156"/>
    <mergeCell ref="W156:X156"/>
    <mergeCell ref="A155:K155"/>
    <mergeCell ref="L155:M155"/>
    <mergeCell ref="N155:O155"/>
    <mergeCell ref="P155:R155"/>
    <mergeCell ref="S155:V155"/>
    <mergeCell ref="W155:X155"/>
    <mergeCell ref="A154:K154"/>
    <mergeCell ref="L154:M154"/>
    <mergeCell ref="N154:O154"/>
    <mergeCell ref="P154:R154"/>
    <mergeCell ref="S154:V154"/>
    <mergeCell ref="W154:X154"/>
    <mergeCell ref="A151:X151"/>
    <mergeCell ref="A152:X152"/>
    <mergeCell ref="A153:K153"/>
    <mergeCell ref="L153:M153"/>
    <mergeCell ref="N153:O153"/>
    <mergeCell ref="P153:R153"/>
    <mergeCell ref="S153:V153"/>
    <mergeCell ref="W153:X153"/>
    <mergeCell ref="A150:K150"/>
    <mergeCell ref="L150:M150"/>
    <mergeCell ref="N150:O150"/>
    <mergeCell ref="P150:R150"/>
    <mergeCell ref="S150:V150"/>
    <mergeCell ref="W150:X150"/>
    <mergeCell ref="A149:K149"/>
    <mergeCell ref="L149:M149"/>
    <mergeCell ref="N149:O149"/>
    <mergeCell ref="P149:R149"/>
    <mergeCell ref="S149:V149"/>
    <mergeCell ref="W149:X149"/>
    <mergeCell ref="A148:K148"/>
    <mergeCell ref="L148:M148"/>
    <mergeCell ref="N148:O148"/>
    <mergeCell ref="P148:R148"/>
    <mergeCell ref="S148:V148"/>
    <mergeCell ref="W148:X148"/>
    <mergeCell ref="A147:K147"/>
    <mergeCell ref="L147:M147"/>
    <mergeCell ref="N147:O147"/>
    <mergeCell ref="P147:R147"/>
    <mergeCell ref="S147:V147"/>
    <mergeCell ref="W147:X147"/>
    <mergeCell ref="A146:K146"/>
    <mergeCell ref="L146:M146"/>
    <mergeCell ref="N146:O146"/>
    <mergeCell ref="P146:R146"/>
    <mergeCell ref="S146:V146"/>
    <mergeCell ref="W146:X146"/>
    <mergeCell ref="A145:K145"/>
    <mergeCell ref="L145:M145"/>
    <mergeCell ref="N145:O145"/>
    <mergeCell ref="P145:R145"/>
    <mergeCell ref="S145:V145"/>
    <mergeCell ref="W145:X145"/>
    <mergeCell ref="A144:K144"/>
    <mergeCell ref="L144:M144"/>
    <mergeCell ref="N144:O144"/>
    <mergeCell ref="P144:R144"/>
    <mergeCell ref="S144:V144"/>
    <mergeCell ref="W144:X144"/>
    <mergeCell ref="A143:K143"/>
    <mergeCell ref="L143:M143"/>
    <mergeCell ref="N143:O143"/>
    <mergeCell ref="P143:R143"/>
    <mergeCell ref="S143:V143"/>
    <mergeCell ref="W143:X143"/>
    <mergeCell ref="A142:K142"/>
    <mergeCell ref="L142:M142"/>
    <mergeCell ref="N142:O142"/>
    <mergeCell ref="P142:R142"/>
    <mergeCell ref="S142:V142"/>
    <mergeCell ref="W142:X142"/>
    <mergeCell ref="A141:K141"/>
    <mergeCell ref="L141:M141"/>
    <mergeCell ref="N141:O141"/>
    <mergeCell ref="P141:R141"/>
    <mergeCell ref="S141:V141"/>
    <mergeCell ref="W141:X141"/>
    <mergeCell ref="A140:K140"/>
    <mergeCell ref="L140:M140"/>
    <mergeCell ref="N140:O140"/>
    <mergeCell ref="P140:R140"/>
    <mergeCell ref="S140:V140"/>
    <mergeCell ref="W140:X140"/>
    <mergeCell ref="A139:K139"/>
    <mergeCell ref="L139:M139"/>
    <mergeCell ref="N139:O139"/>
    <mergeCell ref="P139:R139"/>
    <mergeCell ref="S139:V139"/>
    <mergeCell ref="W139:X139"/>
    <mergeCell ref="A138:K138"/>
    <mergeCell ref="L138:M138"/>
    <mergeCell ref="N138:O138"/>
    <mergeCell ref="P138:R138"/>
    <mergeCell ref="S138:V138"/>
    <mergeCell ref="W138:X138"/>
    <mergeCell ref="A137:K137"/>
    <mergeCell ref="L137:M137"/>
    <mergeCell ref="N137:O137"/>
    <mergeCell ref="P137:R137"/>
    <mergeCell ref="S137:V137"/>
    <mergeCell ref="W137:X137"/>
    <mergeCell ref="A136:K136"/>
    <mergeCell ref="L136:M136"/>
    <mergeCell ref="N136:O136"/>
    <mergeCell ref="P136:R136"/>
    <mergeCell ref="S136:V136"/>
    <mergeCell ref="W136:X136"/>
    <mergeCell ref="A135:K135"/>
    <mergeCell ref="L135:M135"/>
    <mergeCell ref="N135:O135"/>
    <mergeCell ref="P135:R135"/>
    <mergeCell ref="S135:V135"/>
    <mergeCell ref="W135:X135"/>
    <mergeCell ref="A134:K134"/>
    <mergeCell ref="L134:M134"/>
    <mergeCell ref="N134:O134"/>
    <mergeCell ref="P134:R134"/>
    <mergeCell ref="S134:V134"/>
    <mergeCell ref="W134:X134"/>
    <mergeCell ref="A133:K133"/>
    <mergeCell ref="L133:M133"/>
    <mergeCell ref="N133:O133"/>
    <mergeCell ref="P133:R133"/>
    <mergeCell ref="S133:V133"/>
    <mergeCell ref="W133:X133"/>
    <mergeCell ref="A132:K132"/>
    <mergeCell ref="L132:M132"/>
    <mergeCell ref="N132:O132"/>
    <mergeCell ref="P132:R132"/>
    <mergeCell ref="S132:V132"/>
    <mergeCell ref="W132:X132"/>
    <mergeCell ref="A131:K131"/>
    <mergeCell ref="L131:M131"/>
    <mergeCell ref="N131:O131"/>
    <mergeCell ref="P131:R131"/>
    <mergeCell ref="S131:V131"/>
    <mergeCell ref="W131:X131"/>
    <mergeCell ref="A130:K130"/>
    <mergeCell ref="L130:M130"/>
    <mergeCell ref="N130:O130"/>
    <mergeCell ref="P130:R130"/>
    <mergeCell ref="S130:V130"/>
    <mergeCell ref="W130:X130"/>
    <mergeCell ref="A129:K129"/>
    <mergeCell ref="L129:M129"/>
    <mergeCell ref="N129:O129"/>
    <mergeCell ref="P129:R129"/>
    <mergeCell ref="S129:V129"/>
    <mergeCell ref="W129:X129"/>
    <mergeCell ref="A128:K128"/>
    <mergeCell ref="L128:M128"/>
    <mergeCell ref="N128:O128"/>
    <mergeCell ref="P128:R128"/>
    <mergeCell ref="S128:V128"/>
    <mergeCell ref="W128:X128"/>
    <mergeCell ref="A127:K127"/>
    <mergeCell ref="L127:M127"/>
    <mergeCell ref="N127:O127"/>
    <mergeCell ref="P127:R127"/>
    <mergeCell ref="S127:V127"/>
    <mergeCell ref="W127:X127"/>
    <mergeCell ref="A126:K126"/>
    <mergeCell ref="L126:M126"/>
    <mergeCell ref="N126:O126"/>
    <mergeCell ref="P126:R126"/>
    <mergeCell ref="S126:V126"/>
    <mergeCell ref="W126:X126"/>
    <mergeCell ref="A125:K125"/>
    <mergeCell ref="L125:M125"/>
    <mergeCell ref="N125:O125"/>
    <mergeCell ref="P125:R125"/>
    <mergeCell ref="S125:V125"/>
    <mergeCell ref="W125:X125"/>
    <mergeCell ref="A124:K124"/>
    <mergeCell ref="L124:M124"/>
    <mergeCell ref="N124:O124"/>
    <mergeCell ref="P124:R124"/>
    <mergeCell ref="S124:V124"/>
    <mergeCell ref="W124:X124"/>
    <mergeCell ref="A123:K123"/>
    <mergeCell ref="L123:M123"/>
    <mergeCell ref="N123:O123"/>
    <mergeCell ref="P123:R123"/>
    <mergeCell ref="S123:V123"/>
    <mergeCell ref="W123:X123"/>
    <mergeCell ref="A122:K122"/>
    <mergeCell ref="L122:M122"/>
    <mergeCell ref="N122:O122"/>
    <mergeCell ref="P122:R122"/>
    <mergeCell ref="S122:V122"/>
    <mergeCell ref="W122:X122"/>
    <mergeCell ref="A121:K121"/>
    <mergeCell ref="L121:M121"/>
    <mergeCell ref="N121:O121"/>
    <mergeCell ref="P121:R121"/>
    <mergeCell ref="S121:V121"/>
    <mergeCell ref="W121:X121"/>
    <mergeCell ref="A120:K120"/>
    <mergeCell ref="L120:M120"/>
    <mergeCell ref="N120:O120"/>
    <mergeCell ref="P120:R120"/>
    <mergeCell ref="S120:V120"/>
    <mergeCell ref="W120:X120"/>
    <mergeCell ref="A119:K119"/>
    <mergeCell ref="L119:M119"/>
    <mergeCell ref="N119:O119"/>
    <mergeCell ref="P119:R119"/>
    <mergeCell ref="S119:V119"/>
    <mergeCell ref="W119:X119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7:X37"/>
    <mergeCell ref="A38:X38"/>
    <mergeCell ref="A39:K39"/>
    <mergeCell ref="L39:M39"/>
    <mergeCell ref="N39:O39"/>
    <mergeCell ref="P39:R39"/>
    <mergeCell ref="S39:V39"/>
    <mergeCell ref="W39:X39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7" max="255" man="1"/>
    <brk id="15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2015-12-04T06:21:33Z</dcterms:created>
  <dcterms:modified xsi:type="dcterms:W3CDTF">2015-12-04T06:21:33Z</dcterms:modified>
  <cp:category/>
  <cp:version/>
  <cp:contentType/>
  <cp:contentStatus/>
</cp:coreProperties>
</file>