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<sst xmlns="http://schemas.openxmlformats.org/spreadsheetml/2006/main" count="466" uniqueCount="205">
  <si>
    <t>ОТЧЕТ ОБ ИСПОЛНЕНИИ БЮДЖЕТА</t>
  </si>
  <si>
    <t>КОДЫ</t>
  </si>
  <si>
    <t xml:space="preserve">Форма по ОКУД </t>
  </si>
  <si>
    <t>0503117</t>
  </si>
  <si>
    <t>на 1 марта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</si>
  <si>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</si>
  <si>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</si>
  <si>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</si>
  <si>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</si>
  <si>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</si>
  <si>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</si>
  <si>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</si>
  <si>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</si>
  <si>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</si>
  <si>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</si>
  <si>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</si>
  <si>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</si>
  <si>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</si>
  <si>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</si>
  <si>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</si>
  <si>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</si>
  <si>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</si>
  <si>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</si>
  <si>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</si>
  <si>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</si>
  <si>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</si>
  <si>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</si>
  <si>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</si>
  <si>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</si>
  <si>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</si>
  <si>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</si>
  <si>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</si>
  <si>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</si>
  <si>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</si>
  <si>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</si>
  <si>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</si>
  <si>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</si>
  <si>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</si>
  <si>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</si>
  <si>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</si>
  <si>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</si>
  <si>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</si>
  <si>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</si>
  <si>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</si>
  <si>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</si>
  <si>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</si>
  <si>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</si>
  <si>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</si>
  <si>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</si>
  <si>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</si>
  <si>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</si>
  <si>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</si>
  <si>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</si>
  <si>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</si>
  <si>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</si>
  <si>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</si>
  <si>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</si>
  <si>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</si>
  <si>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</si>
  <si>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</si>
  <si>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</si>
  <si>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</si>
  <si>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</si>
  <si>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</si>
  <si>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</si>
  <si>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</si>
  <si>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</si>
  <si>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</si>
  <si>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</si>
  <si>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</si>
  <si>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</si>
  <si>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</si>
  <si>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</si>
  <si>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</si>
  <si>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</si>
  <si>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</si>
  <si>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</si>
  <si>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</si>
  <si>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</si>
  <si>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</si>
  <si>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</si>
  <si>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</si>
  <si>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</si>
  <si>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</si>
  <si>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</si>
  <si>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</si>
  <si>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</si>
  <si>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</si>
  <si>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</si>
  <si>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</si>
  <si>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</si>
  <si>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</si>
  <si>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</si>
  <si>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</si>
  <si>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</si>
  <si>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</si>
  <si>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</si>
  <si>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</si>
  <si>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</si>
  <si>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</si>
  <si>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</si>
  <si>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</si>
  <si>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</si>
  <si>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</si>
  <si>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</si>
  <si>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</si>
  <si>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</si>
  <si>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</si>
  <si>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</si>
  <si>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</si>
  <si>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</si>
  <si>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</si>
  <si>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</si>
  <si>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</si>
  <si>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</si>
  <si>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</si>
  <si>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</si>
  <si>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</si>
  <si>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</si>
  <si>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</si>
  <si>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</si>
  <si>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</si>
  <si>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</si>
  <si>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</si>
  <si>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</si>
  <si>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</si>
  <si>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</si>
  <si>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</si>
  <si>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</si>
  <si>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</si>
  <si>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</si>
  <si>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</si>
  <si>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</si>
  <si>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</si>
  <si>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</si>
  <si>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</si>
  <si>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</si>
  <si>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</si>
  <si>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</si>
  <si>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</si>
  <si>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</si>
  <si>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</si>
  <si>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</si>
  <si>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</si>
  <si>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</si>
  <si>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</si>
  <si>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</si>
  <si>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</si>
  <si>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</si>
  <si>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</si>
  <si>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</si>
  <si>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</si>
  <si>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</si>
  <si>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</si>
  <si>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</si>
  <si>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</si>
  <si>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</si>
  <si>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</si>
  <si>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</si>
  <si>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</si>
  <si>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</si>
  <si>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</si>
  <si>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</si>
  <si>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</si>
  <si>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</si>
  <si>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</si>
  <si>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</si>
  <si>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13005S0470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</si>
  <si>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</si>
  <si>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</si>
  <si>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</si>
  <si>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</si>
  <si>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</si>
  <si>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</si>
  <si>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</si>
  <si>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</si>
  <si>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</si>
  <si>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</si>
  <si>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</si>
  <si>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</si>
  <si>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</si>
  <si>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</si>
  <si>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</si>
  <si>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</si>
  <si>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</si>
  <si>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</si>
  <si>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</si>
  <si>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</si>
  <si>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</si>
  <si>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</si>
  <si>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</si>
  <si>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</si>
  <si>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</si>
  <si>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</si>
  <si>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</si>
  <si>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</si>
  <si>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</si>
  <si>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</si>
  <si>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</si>
  <si>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</si>
  <si>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</si>
  <si>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</si>
  <si>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</si>
  <si>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26 апреля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</si>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</sst>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44621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149362700</f>
        <v>149362700</v>
      </c>
      <c r="Q12" s="21"/>
      <c r="R12" s="21"/>
      <c r="S12" s="21">
        <f>34314739.65</f>
        <v>34314739.65</v>
      </c>
      <c r="T12" s="21"/>
      <c r="U12" s="21"/>
      <c r="V12" s="21"/>
      <c r="W12" s="22">
        <f>115047960.35</f>
        <v>115047960.35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255150.87</f>
        <v>255150.87</v>
      </c>
      <c r="T13" s="25"/>
      <c r="U13" s="25"/>
      <c r="V13" s="25"/>
      <c r="W13" s="26">
        <f>2584849.13</f>
        <v>2584849.13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1749.18</f>
        <v>1749.18</v>
      </c>
      <c r="T14" s="25"/>
      <c r="U14" s="25"/>
      <c r="V14" s="25"/>
      <c r="W14" s="26">
        <f>23250.82</f>
        <v>23250.82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314595.17</f>
        <v>314595.17</v>
      </c>
      <c r="T15" s="25"/>
      <c r="U15" s="25"/>
      <c r="V15" s="25"/>
      <c r="W15" s="26">
        <f>2890804.83</f>
        <v>2890804.83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-26226.69</f>
        <v>-26226.69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3728727.82</f>
        <v>3728727.82</v>
      </c>
      <c r="T17" s="25"/>
      <c r="U17" s="25"/>
      <c r="V17" s="25"/>
      <c r="W17" s="26">
        <f>17091272.18</f>
        <v>17091272.18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164.13</f>
        <v>164.13</v>
      </c>
      <c r="T18" s="25"/>
      <c r="U18" s="25"/>
      <c r="V18" s="25"/>
      <c r="W18" s="26">
        <f>499835.87</f>
        <v>499835.87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26382.28</f>
        <v>26382.28</v>
      </c>
      <c r="T19" s="25"/>
      <c r="U19" s="25"/>
      <c r="V19" s="25"/>
      <c r="W19" s="26">
        <f>373617.72</f>
        <v>373617.72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13365.5</f>
        <v>13365.5</v>
      </c>
      <c r="T20" s="25"/>
      <c r="U20" s="25"/>
      <c r="V20" s="25"/>
      <c r="W20" s="26">
        <f>186634.5</f>
        <v>186634.5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1330000</f>
        <v>1330000</v>
      </c>
      <c r="Q21" s="25"/>
      <c r="R21" s="25"/>
      <c r="S21" s="25">
        <f>889671.58</f>
        <v>889671.58</v>
      </c>
      <c r="T21" s="25"/>
      <c r="U21" s="25"/>
      <c r="V21" s="25"/>
      <c r="W21" s="26">
        <f>440328.42</f>
        <v>440328.42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46</v>
      </c>
      <c r="Q22" s="27"/>
      <c r="R22" s="27"/>
      <c r="S22" s="25">
        <f>120.04</f>
        <v>120.04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6300000</f>
        <v>6300000</v>
      </c>
      <c r="Q23" s="25"/>
      <c r="R23" s="25"/>
      <c r="S23" s="25">
        <f>713932.99</f>
        <v>713932.99</v>
      </c>
      <c r="T23" s="25"/>
      <c r="U23" s="25"/>
      <c r="V23" s="25"/>
      <c r="W23" s="26">
        <f>5586067.01</f>
        <v>5586067.01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1920000</f>
        <v>1920000</v>
      </c>
      <c r="Q24" s="25"/>
      <c r="R24" s="25"/>
      <c r="S24" s="25">
        <f>410637.46</f>
        <v>410637.46</v>
      </c>
      <c r="T24" s="25"/>
      <c r="U24" s="25"/>
      <c r="V24" s="25"/>
      <c r="W24" s="26">
        <f>1509362.54</f>
        <v>1509362.54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7000000</f>
        <v>7000000</v>
      </c>
      <c r="Q25" s="25"/>
      <c r="R25" s="25"/>
      <c r="S25" s="25">
        <f>177154.14</f>
        <v>177154.14</v>
      </c>
      <c r="T25" s="25"/>
      <c r="U25" s="25"/>
      <c r="V25" s="25"/>
      <c r="W25" s="26">
        <f>6822845.86</f>
        <v>6822845.86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42737.8</f>
        <v>42737.8</v>
      </c>
      <c r="T26" s="25"/>
      <c r="U26" s="25"/>
      <c r="V26" s="25"/>
      <c r="W26" s="28" t="s">
        <v>46</v>
      </c>
      <c r="X26" s="28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495900</f>
        <v>495900</v>
      </c>
      <c r="Q27" s="25"/>
      <c r="R27" s="25"/>
      <c r="S27" s="25">
        <f>17980.13</f>
        <v>17980.13</v>
      </c>
      <c r="T27" s="25"/>
      <c r="U27" s="25"/>
      <c r="V27" s="25"/>
      <c r="W27" s="26">
        <f>477919.87</f>
        <v>477919.87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3700</f>
        <v>3700</v>
      </c>
      <c r="Q28" s="25"/>
      <c r="R28" s="25"/>
      <c r="S28" s="27" t="s">
        <v>46</v>
      </c>
      <c r="T28" s="27"/>
      <c r="U28" s="27"/>
      <c r="V28" s="27"/>
      <c r="W28" s="26">
        <f>3700</f>
        <v>3700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40000</f>
        <v>40000</v>
      </c>
      <c r="T29" s="25"/>
      <c r="U29" s="25"/>
      <c r="V29" s="25"/>
      <c r="W29" s="28" t="s">
        <v>46</v>
      </c>
      <c r="X29" s="28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6466600</f>
        <v>6466600</v>
      </c>
      <c r="Q30" s="25"/>
      <c r="R30" s="25"/>
      <c r="S30" s="25">
        <f>1617400</f>
        <v>1617400</v>
      </c>
      <c r="T30" s="25"/>
      <c r="U30" s="25"/>
      <c r="V30" s="25"/>
      <c r="W30" s="26">
        <f>4849200</f>
        <v>4849200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912800</f>
        <v>912800</v>
      </c>
      <c r="Q31" s="25"/>
      <c r="R31" s="25"/>
      <c r="S31" s="25">
        <f>152100</f>
        <v>152100</v>
      </c>
      <c r="T31" s="25"/>
      <c r="U31" s="25"/>
      <c r="V31" s="25"/>
      <c r="W31" s="26">
        <f>760700</f>
        <v>760700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61653400</f>
        <v>61653400</v>
      </c>
      <c r="Q32" s="25"/>
      <c r="R32" s="25"/>
      <c r="S32" s="27" t="s">
        <v>46</v>
      </c>
      <c r="T32" s="27"/>
      <c r="U32" s="27"/>
      <c r="V32" s="27"/>
      <c r="W32" s="26">
        <f>61653400</f>
        <v>61653400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26390100</f>
        <v>26390100</v>
      </c>
      <c r="Q33" s="25"/>
      <c r="R33" s="25"/>
      <c r="S33" s="25">
        <f>25896752.18</f>
        <v>25896752.18</v>
      </c>
      <c r="T33" s="25"/>
      <c r="U33" s="25"/>
      <c r="V33" s="25"/>
      <c r="W33" s="26">
        <f>493347.82</f>
        <v>493347.82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33.7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492200</f>
        <v>492200</v>
      </c>
      <c r="Q35" s="25"/>
      <c r="R35" s="25"/>
      <c r="S35" s="25">
        <f>42345.07</f>
        <v>42345.07</v>
      </c>
      <c r="T35" s="25"/>
      <c r="U35" s="25"/>
      <c r="V35" s="25"/>
      <c r="W35" s="26">
        <f>449854.93</f>
        <v>449854.93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8400000</f>
        <v>8400000</v>
      </c>
      <c r="Q36" s="25"/>
      <c r="R36" s="25"/>
      <c r="S36" s="27" t="s">
        <v>46</v>
      </c>
      <c r="T36" s="27"/>
      <c r="U36" s="27"/>
      <c r="V36" s="27"/>
      <c r="W36" s="26">
        <f>8400000</f>
        <v>8400000</v>
      </c>
      <c r="X36" s="26"/>
    </row>
    <row r="37" spans="1:24" s="1" customFormat="1" ht="54.75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7" t="s">
        <v>46</v>
      </c>
      <c r="Q37" s="27"/>
      <c r="R37" s="27"/>
      <c r="S37" s="25">
        <f>0</f>
        <v>0</v>
      </c>
      <c r="T37" s="25"/>
      <c r="U37" s="25"/>
      <c r="V37" s="25"/>
      <c r="W37" s="28" t="s">
        <v>46</v>
      </c>
      <c r="X37" s="28"/>
    </row>
    <row r="38" spans="1:24" s="1" customFormat="1" ht="13.5" customHeight="1">
      <c r="A38" s="29" t="s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24</v>
      </c>
      <c r="M40" s="13"/>
      <c r="N40" s="13" t="s">
        <v>90</v>
      </c>
      <c r="O40" s="13"/>
      <c r="P40" s="14" t="s">
        <v>26</v>
      </c>
      <c r="Q40" s="14"/>
      <c r="R40" s="14"/>
      <c r="S40" s="14" t="s">
        <v>27</v>
      </c>
      <c r="T40" s="14"/>
      <c r="U40" s="14"/>
      <c r="V40" s="14"/>
      <c r="W40" s="15" t="s">
        <v>28</v>
      </c>
      <c r="X40" s="15"/>
    </row>
    <row r="41" spans="1:24" s="1" customFormat="1" ht="13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30</v>
      </c>
      <c r="M41" s="16"/>
      <c r="N41" s="16" t="s">
        <v>31</v>
      </c>
      <c r="O41" s="16"/>
      <c r="P41" s="17" t="s">
        <v>32</v>
      </c>
      <c r="Q41" s="17"/>
      <c r="R41" s="17"/>
      <c r="S41" s="17" t="s">
        <v>33</v>
      </c>
      <c r="T41" s="17"/>
      <c r="U41" s="17"/>
      <c r="V41" s="17"/>
      <c r="W41" s="18" t="s">
        <v>34</v>
      </c>
      <c r="X41" s="18"/>
    </row>
    <row r="42" spans="1:24" s="1" customFormat="1" ht="13.5" customHeight="1">
      <c r="A42" s="19" t="s">
        <v>91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92</v>
      </c>
      <c r="M42" s="20"/>
      <c r="N42" s="20" t="s">
        <v>37</v>
      </c>
      <c r="O42" s="20"/>
      <c r="P42" s="21">
        <f>148896711.59</f>
        <v>148896711.59</v>
      </c>
      <c r="Q42" s="21"/>
      <c r="R42" s="21"/>
      <c r="S42" s="21">
        <f>34366491.82</f>
        <v>34366491.82</v>
      </c>
      <c r="T42" s="21"/>
      <c r="U42" s="21"/>
      <c r="V42" s="21"/>
      <c r="W42" s="22">
        <f>114530219.77</f>
        <v>114530219.77</v>
      </c>
      <c r="X42" s="22"/>
    </row>
    <row r="43" spans="1:24" s="1" customFormat="1" ht="13.5" customHeight="1">
      <c r="A43" s="30" t="s">
        <v>93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92</v>
      </c>
      <c r="M43" s="31"/>
      <c r="N43" s="31" t="s">
        <v>94</v>
      </c>
      <c r="O43" s="31"/>
      <c r="P43" s="32">
        <f>795300</f>
        <v>795300</v>
      </c>
      <c r="Q43" s="32"/>
      <c r="R43" s="32"/>
      <c r="S43" s="32">
        <f>197966</f>
        <v>197966</v>
      </c>
      <c r="T43" s="32"/>
      <c r="U43" s="32"/>
      <c r="V43" s="32"/>
      <c r="W43" s="33">
        <f>597334</f>
        <v>597334</v>
      </c>
      <c r="X43" s="33"/>
    </row>
    <row r="44" spans="1:24" s="1" customFormat="1" ht="33.75" customHeight="1">
      <c r="A44" s="30" t="s">
        <v>95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92</v>
      </c>
      <c r="M44" s="31"/>
      <c r="N44" s="31" t="s">
        <v>96</v>
      </c>
      <c r="O44" s="31"/>
      <c r="P44" s="32">
        <f>240200</f>
        <v>240200</v>
      </c>
      <c r="Q44" s="32"/>
      <c r="R44" s="32"/>
      <c r="S44" s="32">
        <f>18653.33</f>
        <v>18653.33</v>
      </c>
      <c r="T44" s="32"/>
      <c r="U44" s="32"/>
      <c r="V44" s="32"/>
      <c r="W44" s="33">
        <f>221546.67</f>
        <v>221546.67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92</v>
      </c>
      <c r="M45" s="31"/>
      <c r="N45" s="31" t="s">
        <v>97</v>
      </c>
      <c r="O45" s="31"/>
      <c r="P45" s="32">
        <f>5017100</f>
        <v>5017100</v>
      </c>
      <c r="Q45" s="32"/>
      <c r="R45" s="32"/>
      <c r="S45" s="32">
        <f>489563</f>
        <v>489563</v>
      </c>
      <c r="T45" s="32"/>
      <c r="U45" s="32"/>
      <c r="V45" s="32"/>
      <c r="W45" s="33">
        <f>4527537</f>
        <v>4527537</v>
      </c>
      <c r="X45" s="33"/>
    </row>
    <row r="46" spans="1:24" s="1" customFormat="1" ht="33.7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92</v>
      </c>
      <c r="M46" s="31"/>
      <c r="N46" s="31" t="s">
        <v>98</v>
      </c>
      <c r="O46" s="31"/>
      <c r="P46" s="32">
        <f>1515200</f>
        <v>1515200</v>
      </c>
      <c r="Q46" s="32"/>
      <c r="R46" s="32"/>
      <c r="S46" s="32">
        <f>120223.78</f>
        <v>120223.78</v>
      </c>
      <c r="T46" s="32"/>
      <c r="U46" s="32"/>
      <c r="V46" s="32"/>
      <c r="W46" s="33">
        <f>1394976.22</f>
        <v>1394976.22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92</v>
      </c>
      <c r="M47" s="31"/>
      <c r="N47" s="31" t="s">
        <v>100</v>
      </c>
      <c r="O47" s="31"/>
      <c r="P47" s="32">
        <f>330000</f>
        <v>330000</v>
      </c>
      <c r="Q47" s="32"/>
      <c r="R47" s="32"/>
      <c r="S47" s="32">
        <f>21398.05</f>
        <v>21398.05</v>
      </c>
      <c r="T47" s="32"/>
      <c r="U47" s="32"/>
      <c r="V47" s="32"/>
      <c r="W47" s="33">
        <f>308601.95</f>
        <v>308601.95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92</v>
      </c>
      <c r="M48" s="31"/>
      <c r="N48" s="31" t="s">
        <v>102</v>
      </c>
      <c r="O48" s="31"/>
      <c r="P48" s="32">
        <f>4500</f>
        <v>4500</v>
      </c>
      <c r="Q48" s="32"/>
      <c r="R48" s="32"/>
      <c r="S48" s="34" t="s">
        <v>46</v>
      </c>
      <c r="T48" s="34"/>
      <c r="U48" s="34"/>
      <c r="V48" s="34"/>
      <c r="W48" s="33">
        <f>4500</f>
        <v>4500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92</v>
      </c>
      <c r="M49" s="31"/>
      <c r="N49" s="31" t="s">
        <v>104</v>
      </c>
      <c r="O49" s="31"/>
      <c r="P49" s="32">
        <f>25000</f>
        <v>25000</v>
      </c>
      <c r="Q49" s="32"/>
      <c r="R49" s="32"/>
      <c r="S49" s="34" t="s">
        <v>46</v>
      </c>
      <c r="T49" s="34"/>
      <c r="U49" s="34"/>
      <c r="V49" s="34"/>
      <c r="W49" s="33">
        <f>25000</f>
        <v>25000</v>
      </c>
      <c r="X49" s="33"/>
    </row>
    <row r="50" spans="1:24" s="1" customFormat="1" ht="13.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92</v>
      </c>
      <c r="M50" s="31"/>
      <c r="N50" s="31" t="s">
        <v>105</v>
      </c>
      <c r="O50" s="31"/>
      <c r="P50" s="32">
        <f>7600</f>
        <v>7600</v>
      </c>
      <c r="Q50" s="32"/>
      <c r="R50" s="32"/>
      <c r="S50" s="34" t="s">
        <v>46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107</v>
      </c>
      <c r="O51" s="31"/>
      <c r="P51" s="32">
        <f>362100</f>
        <v>362100</v>
      </c>
      <c r="Q51" s="32"/>
      <c r="R51" s="32"/>
      <c r="S51" s="34" t="s">
        <v>46</v>
      </c>
      <c r="T51" s="34"/>
      <c r="U51" s="34"/>
      <c r="V51" s="34"/>
      <c r="W51" s="33">
        <f>362100</f>
        <v>362100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109</v>
      </c>
      <c r="O52" s="31"/>
      <c r="P52" s="32">
        <f>40000</f>
        <v>40000</v>
      </c>
      <c r="Q52" s="32"/>
      <c r="R52" s="32"/>
      <c r="S52" s="34" t="s">
        <v>46</v>
      </c>
      <c r="T52" s="34"/>
      <c r="U52" s="34"/>
      <c r="V52" s="34"/>
      <c r="W52" s="33">
        <f>40000</f>
        <v>40000</v>
      </c>
      <c r="X52" s="33"/>
    </row>
    <row r="53" spans="1:24" s="1" customFormat="1" ht="13.5" customHeight="1">
      <c r="A53" s="30" t="s">
        <v>99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110</v>
      </c>
      <c r="O53" s="31"/>
      <c r="P53" s="32">
        <f>226300</f>
        <v>226300</v>
      </c>
      <c r="Q53" s="32"/>
      <c r="R53" s="32"/>
      <c r="S53" s="34" t="s">
        <v>46</v>
      </c>
      <c r="T53" s="34"/>
      <c r="U53" s="34"/>
      <c r="V53" s="34"/>
      <c r="W53" s="33">
        <f>226300</f>
        <v>226300</v>
      </c>
      <c r="X53" s="33"/>
    </row>
    <row r="54" spans="1:24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112</v>
      </c>
      <c r="O54" s="31"/>
      <c r="P54" s="32">
        <f>4928300</f>
        <v>4928300</v>
      </c>
      <c r="Q54" s="32"/>
      <c r="R54" s="32"/>
      <c r="S54" s="32">
        <f>694095</f>
        <v>694095</v>
      </c>
      <c r="T54" s="32"/>
      <c r="U54" s="32"/>
      <c r="V54" s="32"/>
      <c r="W54" s="33">
        <f>4234205</f>
        <v>4234205</v>
      </c>
      <c r="X54" s="33"/>
    </row>
    <row r="55" spans="1:24" s="1" customFormat="1" ht="24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114</v>
      </c>
      <c r="O55" s="31"/>
      <c r="P55" s="32">
        <f>1488400</f>
        <v>1488400</v>
      </c>
      <c r="Q55" s="32"/>
      <c r="R55" s="32"/>
      <c r="S55" s="32">
        <f>151220.48</f>
        <v>151220.48</v>
      </c>
      <c r="T55" s="32"/>
      <c r="U55" s="32"/>
      <c r="V55" s="32"/>
      <c r="W55" s="33">
        <f>1337179.52</f>
        <v>1337179.52</v>
      </c>
      <c r="X55" s="33"/>
    </row>
    <row r="56" spans="1:24" s="1" customFormat="1" ht="13.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115</v>
      </c>
      <c r="O56" s="31"/>
      <c r="P56" s="32">
        <f>2110000</f>
        <v>2110000</v>
      </c>
      <c r="Q56" s="32"/>
      <c r="R56" s="32"/>
      <c r="S56" s="32">
        <f>548588.99</f>
        <v>548588.99</v>
      </c>
      <c r="T56" s="32"/>
      <c r="U56" s="32"/>
      <c r="V56" s="32"/>
      <c r="W56" s="33">
        <f>1561411.01</f>
        <v>1561411.01</v>
      </c>
      <c r="X56" s="33"/>
    </row>
    <row r="57" spans="1:24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117</v>
      </c>
      <c r="O57" s="31"/>
      <c r="P57" s="32">
        <f>990000</f>
        <v>990000</v>
      </c>
      <c r="Q57" s="32"/>
      <c r="R57" s="32"/>
      <c r="S57" s="32">
        <f>215671.78</f>
        <v>215671.78</v>
      </c>
      <c r="T57" s="32"/>
      <c r="U57" s="32"/>
      <c r="V57" s="32"/>
      <c r="W57" s="33">
        <f>774328.22</f>
        <v>774328.22</v>
      </c>
      <c r="X57" s="33"/>
    </row>
    <row r="58" spans="1:24" s="1" customFormat="1" ht="13.5" customHeight="1">
      <c r="A58" s="30" t="s">
        <v>101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118</v>
      </c>
      <c r="O58" s="31"/>
      <c r="P58" s="32">
        <f>8500</f>
        <v>8500</v>
      </c>
      <c r="Q58" s="32"/>
      <c r="R58" s="32"/>
      <c r="S58" s="34" t="s">
        <v>46</v>
      </c>
      <c r="T58" s="34"/>
      <c r="U58" s="34"/>
      <c r="V58" s="34"/>
      <c r="W58" s="33">
        <f>8500</f>
        <v>8500</v>
      </c>
      <c r="X58" s="33"/>
    </row>
    <row r="59" spans="1:24" s="1" customFormat="1" ht="13.5" customHeight="1">
      <c r="A59" s="30" t="s">
        <v>103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119</v>
      </c>
      <c r="O59" s="31"/>
      <c r="P59" s="32">
        <f>12500</f>
        <v>12500</v>
      </c>
      <c r="Q59" s="32"/>
      <c r="R59" s="32"/>
      <c r="S59" s="34" t="s">
        <v>46</v>
      </c>
      <c r="T59" s="34"/>
      <c r="U59" s="34"/>
      <c r="V59" s="34"/>
      <c r="W59" s="33">
        <f>12500</f>
        <v>12500</v>
      </c>
      <c r="X59" s="33"/>
    </row>
    <row r="60" spans="1:24" s="1" customFormat="1" ht="13.5" customHeight="1">
      <c r="A60" s="30" t="s">
        <v>93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120</v>
      </c>
      <c r="O60" s="31"/>
      <c r="P60" s="32">
        <f>0</f>
        <v>0</v>
      </c>
      <c r="Q60" s="32"/>
      <c r="R60" s="32"/>
      <c r="S60" s="34" t="s">
        <v>46</v>
      </c>
      <c r="T60" s="34"/>
      <c r="U60" s="34"/>
      <c r="V60" s="34"/>
      <c r="W60" s="35" t="s">
        <v>46</v>
      </c>
      <c r="X60" s="35"/>
    </row>
    <row r="61" spans="1:24" s="1" customFormat="1" ht="33.75" customHeight="1">
      <c r="A61" s="30" t="s">
        <v>95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121</v>
      </c>
      <c r="O61" s="31"/>
      <c r="P61" s="32">
        <f>0</f>
        <v>0</v>
      </c>
      <c r="Q61" s="32"/>
      <c r="R61" s="32"/>
      <c r="S61" s="34" t="s">
        <v>46</v>
      </c>
      <c r="T61" s="34"/>
      <c r="U61" s="34"/>
      <c r="V61" s="34"/>
      <c r="W61" s="35" t="s">
        <v>46</v>
      </c>
      <c r="X61" s="35"/>
    </row>
    <row r="62" spans="1:24" s="1" customFormat="1" ht="13.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122</v>
      </c>
      <c r="O62" s="31"/>
      <c r="P62" s="32">
        <f>378033.79</f>
        <v>378033.79</v>
      </c>
      <c r="Q62" s="32"/>
      <c r="R62" s="32"/>
      <c r="S62" s="32">
        <f>32987</f>
        <v>32987</v>
      </c>
      <c r="T62" s="32"/>
      <c r="U62" s="32"/>
      <c r="V62" s="32"/>
      <c r="W62" s="33">
        <f>345046.79</f>
        <v>345046.79</v>
      </c>
      <c r="X62" s="33"/>
    </row>
    <row r="63" spans="1:24" s="1" customFormat="1" ht="33.75" customHeight="1">
      <c r="A63" s="30" t="s">
        <v>95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123</v>
      </c>
      <c r="O63" s="31"/>
      <c r="P63" s="32">
        <f>114166.21</f>
        <v>114166.21</v>
      </c>
      <c r="Q63" s="32"/>
      <c r="R63" s="32"/>
      <c r="S63" s="32">
        <f>9358.07</f>
        <v>9358.07</v>
      </c>
      <c r="T63" s="32"/>
      <c r="U63" s="32"/>
      <c r="V63" s="32"/>
      <c r="W63" s="33">
        <f>104808.14</f>
        <v>104808.14</v>
      </c>
      <c r="X63" s="33"/>
    </row>
    <row r="64" spans="1:24" s="1" customFormat="1" ht="13.5" customHeight="1">
      <c r="A64" s="30" t="s">
        <v>99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124</v>
      </c>
      <c r="O64" s="31"/>
      <c r="P64" s="32">
        <f>30000</f>
        <v>30000</v>
      </c>
      <c r="Q64" s="32"/>
      <c r="R64" s="32"/>
      <c r="S64" s="32">
        <f>12615.98</f>
        <v>12615.98</v>
      </c>
      <c r="T64" s="32"/>
      <c r="U64" s="32"/>
      <c r="V64" s="32"/>
      <c r="W64" s="33">
        <f>17384.02</f>
        <v>17384.02</v>
      </c>
      <c r="X64" s="33"/>
    </row>
    <row r="65" spans="1:24" s="1" customFormat="1" ht="13.5" customHeight="1">
      <c r="A65" s="30" t="s">
        <v>99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125</v>
      </c>
      <c r="O65" s="31"/>
      <c r="P65" s="32">
        <f>97500</f>
        <v>97500</v>
      </c>
      <c r="Q65" s="32"/>
      <c r="R65" s="32"/>
      <c r="S65" s="34" t="s">
        <v>46</v>
      </c>
      <c r="T65" s="34"/>
      <c r="U65" s="34"/>
      <c r="V65" s="34"/>
      <c r="W65" s="33">
        <f>97500</f>
        <v>97500</v>
      </c>
      <c r="X65" s="33"/>
    </row>
    <row r="66" spans="1:24" s="1" customFormat="1" ht="13.5" customHeight="1">
      <c r="A66" s="30" t="s">
        <v>99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126</v>
      </c>
      <c r="O66" s="31"/>
      <c r="P66" s="32">
        <f>70000</f>
        <v>70000</v>
      </c>
      <c r="Q66" s="32"/>
      <c r="R66" s="32"/>
      <c r="S66" s="34" t="s">
        <v>46</v>
      </c>
      <c r="T66" s="34"/>
      <c r="U66" s="34"/>
      <c r="V66" s="34"/>
      <c r="W66" s="33">
        <f>70000</f>
        <v>70000</v>
      </c>
      <c r="X66" s="33"/>
    </row>
    <row r="67" spans="1:24" s="1" customFormat="1" ht="13.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127</v>
      </c>
      <c r="O67" s="31"/>
      <c r="P67" s="32">
        <f>50000</f>
        <v>50000</v>
      </c>
      <c r="Q67" s="32"/>
      <c r="R67" s="32"/>
      <c r="S67" s="34" t="s">
        <v>46</v>
      </c>
      <c r="T67" s="34"/>
      <c r="U67" s="34"/>
      <c r="V67" s="34"/>
      <c r="W67" s="33">
        <f>50000</f>
        <v>50000</v>
      </c>
      <c r="X67" s="33"/>
    </row>
    <row r="68" spans="1:24" s="1" customFormat="1" ht="13.5" customHeight="1">
      <c r="A68" s="30" t="s">
        <v>99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128</v>
      </c>
      <c r="O68" s="31"/>
      <c r="P68" s="32">
        <f>5000</f>
        <v>5000</v>
      </c>
      <c r="Q68" s="32"/>
      <c r="R68" s="32"/>
      <c r="S68" s="34" t="s">
        <v>46</v>
      </c>
      <c r="T68" s="34"/>
      <c r="U68" s="34"/>
      <c r="V68" s="34"/>
      <c r="W68" s="33">
        <f>5000</f>
        <v>5000</v>
      </c>
      <c r="X68" s="33"/>
    </row>
    <row r="69" spans="1:24" s="1" customFormat="1" ht="13.5" customHeight="1">
      <c r="A69" s="30" t="s">
        <v>108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129</v>
      </c>
      <c r="O69" s="31"/>
      <c r="P69" s="32">
        <f>20000</f>
        <v>20000</v>
      </c>
      <c r="Q69" s="32"/>
      <c r="R69" s="32"/>
      <c r="S69" s="34" t="s">
        <v>46</v>
      </c>
      <c r="T69" s="34"/>
      <c r="U69" s="34"/>
      <c r="V69" s="34"/>
      <c r="W69" s="33">
        <f>20000</f>
        <v>20000</v>
      </c>
      <c r="X69" s="33"/>
    </row>
    <row r="70" spans="1:24" s="1" customFormat="1" ht="13.5" customHeight="1">
      <c r="A70" s="30" t="s">
        <v>130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131</v>
      </c>
      <c r="O70" s="31"/>
      <c r="P70" s="32">
        <f>60000</f>
        <v>60000</v>
      </c>
      <c r="Q70" s="32"/>
      <c r="R70" s="32"/>
      <c r="S70" s="34" t="s">
        <v>46</v>
      </c>
      <c r="T70" s="34"/>
      <c r="U70" s="34"/>
      <c r="V70" s="34"/>
      <c r="W70" s="33">
        <f>60000</f>
        <v>60000</v>
      </c>
      <c r="X70" s="33"/>
    </row>
    <row r="71" spans="1:24" s="1" customFormat="1" ht="13.5" customHeight="1">
      <c r="A71" s="30" t="s">
        <v>99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132</v>
      </c>
      <c r="O71" s="31"/>
      <c r="P71" s="32">
        <f>2181400</f>
        <v>2181400</v>
      </c>
      <c r="Q71" s="32"/>
      <c r="R71" s="32"/>
      <c r="S71" s="32">
        <f>365654.03</f>
        <v>365654.03</v>
      </c>
      <c r="T71" s="32"/>
      <c r="U71" s="32"/>
      <c r="V71" s="32"/>
      <c r="W71" s="33">
        <f>1815745.97</f>
        <v>1815745.97</v>
      </c>
      <c r="X71" s="33"/>
    </row>
    <row r="72" spans="1:24" s="1" customFormat="1" ht="24" customHeight="1">
      <c r="A72" s="30" t="s">
        <v>133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134</v>
      </c>
      <c r="O72" s="31"/>
      <c r="P72" s="32">
        <f>1300000</f>
        <v>1300000</v>
      </c>
      <c r="Q72" s="32"/>
      <c r="R72" s="32"/>
      <c r="S72" s="34" t="s">
        <v>46</v>
      </c>
      <c r="T72" s="34"/>
      <c r="U72" s="34"/>
      <c r="V72" s="34"/>
      <c r="W72" s="33">
        <f>1300000</f>
        <v>1300000</v>
      </c>
      <c r="X72" s="33"/>
    </row>
    <row r="73" spans="1:24" s="1" customFormat="1" ht="13.5" customHeight="1">
      <c r="A73" s="30" t="s">
        <v>99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135</v>
      </c>
      <c r="O73" s="31"/>
      <c r="P73" s="32">
        <f>500000</f>
        <v>500000</v>
      </c>
      <c r="Q73" s="32"/>
      <c r="R73" s="32"/>
      <c r="S73" s="34" t="s">
        <v>46</v>
      </c>
      <c r="T73" s="34"/>
      <c r="U73" s="34"/>
      <c r="V73" s="34"/>
      <c r="W73" s="33">
        <f>500000</f>
        <v>500000</v>
      </c>
      <c r="X73" s="33"/>
    </row>
    <row r="74" spans="1:24" s="1" customFormat="1" ht="13.5" customHeight="1">
      <c r="A74" s="30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136</v>
      </c>
      <c r="O74" s="31"/>
      <c r="P74" s="32">
        <f>28074700</f>
        <v>28074700</v>
      </c>
      <c r="Q74" s="32"/>
      <c r="R74" s="32"/>
      <c r="S74" s="32">
        <f>27549808.52</f>
        <v>27549808.52</v>
      </c>
      <c r="T74" s="32"/>
      <c r="U74" s="32"/>
      <c r="V74" s="32"/>
      <c r="W74" s="33">
        <f>524891.48</f>
        <v>524891.48</v>
      </c>
      <c r="X74" s="33"/>
    </row>
    <row r="75" spans="1:24" s="1" customFormat="1" ht="13.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137</v>
      </c>
      <c r="O75" s="31"/>
      <c r="P75" s="32">
        <f>0</f>
        <v>0</v>
      </c>
      <c r="Q75" s="32"/>
      <c r="R75" s="32"/>
      <c r="S75" s="34" t="s">
        <v>46</v>
      </c>
      <c r="T75" s="34"/>
      <c r="U75" s="34"/>
      <c r="V75" s="34"/>
      <c r="W75" s="35" t="s">
        <v>46</v>
      </c>
      <c r="X75" s="35"/>
    </row>
    <row r="76" spans="1:24" s="1" customFormat="1" ht="13.5" customHeight="1">
      <c r="A76" s="30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138</v>
      </c>
      <c r="O76" s="31"/>
      <c r="P76" s="32">
        <f>500000</f>
        <v>500000</v>
      </c>
      <c r="Q76" s="32"/>
      <c r="R76" s="32"/>
      <c r="S76" s="32">
        <f>126119</f>
        <v>126119</v>
      </c>
      <c r="T76" s="32"/>
      <c r="U76" s="32"/>
      <c r="V76" s="32"/>
      <c r="W76" s="33">
        <f>373881</f>
        <v>373881</v>
      </c>
      <c r="X76" s="33"/>
    </row>
    <row r="77" spans="1:24" s="1" customFormat="1" ht="13.5" customHeight="1">
      <c r="A77" s="30" t="s">
        <v>99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139</v>
      </c>
      <c r="O77" s="31"/>
      <c r="P77" s="32">
        <f>200000</f>
        <v>200000</v>
      </c>
      <c r="Q77" s="32"/>
      <c r="R77" s="32"/>
      <c r="S77" s="34" t="s">
        <v>46</v>
      </c>
      <c r="T77" s="34"/>
      <c r="U77" s="34"/>
      <c r="V77" s="34"/>
      <c r="W77" s="33">
        <f>200000</f>
        <v>200000</v>
      </c>
      <c r="X77" s="33"/>
    </row>
    <row r="78" spans="1:24" s="1" customFormat="1" ht="13.5" customHeight="1">
      <c r="A78" s="30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140</v>
      </c>
      <c r="O78" s="31"/>
      <c r="P78" s="32">
        <f>25000</f>
        <v>25000</v>
      </c>
      <c r="Q78" s="32"/>
      <c r="R78" s="32"/>
      <c r="S78" s="34" t="s">
        <v>46</v>
      </c>
      <c r="T78" s="34"/>
      <c r="U78" s="34"/>
      <c r="V78" s="34"/>
      <c r="W78" s="33">
        <f>25000</f>
        <v>25000</v>
      </c>
      <c r="X78" s="33"/>
    </row>
    <row r="79" spans="1:24" s="1" customFormat="1" ht="13.5" customHeight="1">
      <c r="A79" s="30" t="s">
        <v>99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141</v>
      </c>
      <c r="O79" s="31"/>
      <c r="P79" s="32">
        <f>50000</f>
        <v>50000</v>
      </c>
      <c r="Q79" s="32"/>
      <c r="R79" s="32"/>
      <c r="S79" s="34" t="s">
        <v>46</v>
      </c>
      <c r="T79" s="34"/>
      <c r="U79" s="34"/>
      <c r="V79" s="34"/>
      <c r="W79" s="33">
        <f>50000</f>
        <v>50000</v>
      </c>
      <c r="X79" s="33"/>
    </row>
    <row r="80" spans="1:24" s="1" customFormat="1" ht="13.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92</v>
      </c>
      <c r="M80" s="31"/>
      <c r="N80" s="31" t="s">
        <v>142</v>
      </c>
      <c r="O80" s="31"/>
      <c r="P80" s="32">
        <f>25000</f>
        <v>25000</v>
      </c>
      <c r="Q80" s="32"/>
      <c r="R80" s="32"/>
      <c r="S80" s="32">
        <f>9500</f>
        <v>9500</v>
      </c>
      <c r="T80" s="32"/>
      <c r="U80" s="32"/>
      <c r="V80" s="32"/>
      <c r="W80" s="33">
        <f>15500</f>
        <v>15500</v>
      </c>
      <c r="X80" s="33"/>
    </row>
    <row r="81" spans="1:24" s="1" customFormat="1" ht="13.5" customHeight="1">
      <c r="A81" s="30" t="s">
        <v>101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92</v>
      </c>
      <c r="M81" s="31"/>
      <c r="N81" s="31" t="s">
        <v>143</v>
      </c>
      <c r="O81" s="31"/>
      <c r="P81" s="32">
        <f>37500</f>
        <v>37500</v>
      </c>
      <c r="Q81" s="32"/>
      <c r="R81" s="32"/>
      <c r="S81" s="34" t="s">
        <v>46</v>
      </c>
      <c r="T81" s="34"/>
      <c r="U81" s="34"/>
      <c r="V81" s="34"/>
      <c r="W81" s="33">
        <f>37500</f>
        <v>37500</v>
      </c>
      <c r="X81" s="33"/>
    </row>
    <row r="82" spans="1:24" s="1" customFormat="1" ht="13.5" customHeight="1">
      <c r="A82" s="30" t="s">
        <v>99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92</v>
      </c>
      <c r="M82" s="31"/>
      <c r="N82" s="31" t="s">
        <v>144</v>
      </c>
      <c r="O82" s="31"/>
      <c r="P82" s="32">
        <f>2650000</f>
        <v>2650000</v>
      </c>
      <c r="Q82" s="32"/>
      <c r="R82" s="32"/>
      <c r="S82" s="34" t="s">
        <v>46</v>
      </c>
      <c r="T82" s="34"/>
      <c r="U82" s="34"/>
      <c r="V82" s="34"/>
      <c r="W82" s="33">
        <f>2650000</f>
        <v>2650000</v>
      </c>
      <c r="X82" s="33"/>
    </row>
    <row r="83" spans="1:24" s="1" customFormat="1" ht="33.75" customHeight="1">
      <c r="A83" s="30" t="s">
        <v>145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92</v>
      </c>
      <c r="M83" s="31"/>
      <c r="N83" s="31" t="s">
        <v>146</v>
      </c>
      <c r="O83" s="31"/>
      <c r="P83" s="32">
        <f>200000</f>
        <v>200000</v>
      </c>
      <c r="Q83" s="32"/>
      <c r="R83" s="32"/>
      <c r="S83" s="34" t="s">
        <v>46</v>
      </c>
      <c r="T83" s="34"/>
      <c r="U83" s="34"/>
      <c r="V83" s="34"/>
      <c r="W83" s="33">
        <f>200000</f>
        <v>200000</v>
      </c>
      <c r="X83" s="33"/>
    </row>
    <row r="84" spans="1:24" s="1" customFormat="1" ht="24" customHeight="1">
      <c r="A84" s="30" t="s">
        <v>133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92</v>
      </c>
      <c r="M84" s="31"/>
      <c r="N84" s="31" t="s">
        <v>147</v>
      </c>
      <c r="O84" s="31"/>
      <c r="P84" s="32">
        <f>43300</f>
        <v>43300</v>
      </c>
      <c r="Q84" s="32"/>
      <c r="R84" s="32"/>
      <c r="S84" s="32">
        <f>43261.41</f>
        <v>43261.41</v>
      </c>
      <c r="T84" s="32"/>
      <c r="U84" s="32"/>
      <c r="V84" s="32"/>
      <c r="W84" s="33">
        <f>38.59</f>
        <v>38.59</v>
      </c>
      <c r="X84" s="33"/>
    </row>
    <row r="85" spans="1:24" s="1" customFormat="1" ht="13.5" customHeight="1">
      <c r="A85" s="30" t="s">
        <v>99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92</v>
      </c>
      <c r="M85" s="31"/>
      <c r="N85" s="31" t="s">
        <v>148</v>
      </c>
      <c r="O85" s="31"/>
      <c r="P85" s="32">
        <f>145800</f>
        <v>145800</v>
      </c>
      <c r="Q85" s="32"/>
      <c r="R85" s="32"/>
      <c r="S85" s="32">
        <f>145771.31</f>
        <v>145771.31</v>
      </c>
      <c r="T85" s="32"/>
      <c r="U85" s="32"/>
      <c r="V85" s="32"/>
      <c r="W85" s="33">
        <f>28.69</f>
        <v>28.69</v>
      </c>
      <c r="X85" s="33"/>
    </row>
    <row r="86" spans="1:24" s="1" customFormat="1" ht="13.5" customHeight="1">
      <c r="A86" s="30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92</v>
      </c>
      <c r="M86" s="31"/>
      <c r="N86" s="31" t="s">
        <v>149</v>
      </c>
      <c r="O86" s="31"/>
      <c r="P86" s="32">
        <f>100000</f>
        <v>100000</v>
      </c>
      <c r="Q86" s="32"/>
      <c r="R86" s="32"/>
      <c r="S86" s="34" t="s">
        <v>46</v>
      </c>
      <c r="T86" s="34"/>
      <c r="U86" s="34"/>
      <c r="V86" s="34"/>
      <c r="W86" s="33">
        <f>100000</f>
        <v>100000</v>
      </c>
      <c r="X86" s="33"/>
    </row>
    <row r="87" spans="1:24" s="1" customFormat="1" ht="13.5" customHeight="1">
      <c r="A87" s="30" t="s">
        <v>99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92</v>
      </c>
      <c r="M87" s="31"/>
      <c r="N87" s="31" t="s">
        <v>150</v>
      </c>
      <c r="O87" s="31"/>
      <c r="P87" s="32">
        <f>500000</f>
        <v>500000</v>
      </c>
      <c r="Q87" s="32"/>
      <c r="R87" s="32"/>
      <c r="S87" s="32">
        <f>20492</f>
        <v>20492</v>
      </c>
      <c r="T87" s="32"/>
      <c r="U87" s="32"/>
      <c r="V87" s="32"/>
      <c r="W87" s="33">
        <f>479508</f>
        <v>479508</v>
      </c>
      <c r="X87" s="33"/>
    </row>
    <row r="88" spans="1:24" s="1" customFormat="1" ht="13.5" customHeight="1">
      <c r="A88" s="30" t="s">
        <v>116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92</v>
      </c>
      <c r="M88" s="31"/>
      <c r="N88" s="31" t="s">
        <v>151</v>
      </c>
      <c r="O88" s="31"/>
      <c r="P88" s="32">
        <f>1800000</f>
        <v>1800000</v>
      </c>
      <c r="Q88" s="32"/>
      <c r="R88" s="32"/>
      <c r="S88" s="32">
        <f>93208.32</f>
        <v>93208.32</v>
      </c>
      <c r="T88" s="32"/>
      <c r="U88" s="32"/>
      <c r="V88" s="32"/>
      <c r="W88" s="33">
        <f>1706791.68</f>
        <v>1706791.68</v>
      </c>
      <c r="X88" s="33"/>
    </row>
    <row r="89" spans="1:24" s="1" customFormat="1" ht="13.5" customHeight="1">
      <c r="A89" s="30" t="s">
        <v>99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92</v>
      </c>
      <c r="M89" s="31"/>
      <c r="N89" s="31" t="s">
        <v>152</v>
      </c>
      <c r="O89" s="31"/>
      <c r="P89" s="32">
        <f>800000</f>
        <v>800000</v>
      </c>
      <c r="Q89" s="32"/>
      <c r="R89" s="32"/>
      <c r="S89" s="32">
        <f>74015.68</f>
        <v>74015.68</v>
      </c>
      <c r="T89" s="32"/>
      <c r="U89" s="32"/>
      <c r="V89" s="32"/>
      <c r="W89" s="33">
        <f>725984.32</f>
        <v>725984.32</v>
      </c>
      <c r="X89" s="33"/>
    </row>
    <row r="90" spans="1:24" s="1" customFormat="1" ht="13.5" customHeight="1">
      <c r="A90" s="30" t="s">
        <v>99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92</v>
      </c>
      <c r="M90" s="31"/>
      <c r="N90" s="31" t="s">
        <v>153</v>
      </c>
      <c r="O90" s="31"/>
      <c r="P90" s="32">
        <f>10000</f>
        <v>10000</v>
      </c>
      <c r="Q90" s="32"/>
      <c r="R90" s="32"/>
      <c r="S90" s="34" t="s">
        <v>46</v>
      </c>
      <c r="T90" s="34"/>
      <c r="U90" s="34"/>
      <c r="V90" s="34"/>
      <c r="W90" s="33">
        <f>10000</f>
        <v>10000</v>
      </c>
      <c r="X90" s="33"/>
    </row>
    <row r="91" spans="1:24" s="1" customFormat="1" ht="13.5" customHeight="1">
      <c r="A91" s="30" t="s">
        <v>99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92</v>
      </c>
      <c r="M91" s="31"/>
      <c r="N91" s="31" t="s">
        <v>154</v>
      </c>
      <c r="O91" s="31"/>
      <c r="P91" s="32">
        <f>150000</f>
        <v>150000</v>
      </c>
      <c r="Q91" s="32"/>
      <c r="R91" s="32"/>
      <c r="S91" s="34" t="s">
        <v>46</v>
      </c>
      <c r="T91" s="34"/>
      <c r="U91" s="34"/>
      <c r="V91" s="34"/>
      <c r="W91" s="33">
        <f>150000</f>
        <v>150000</v>
      </c>
      <c r="X91" s="33"/>
    </row>
    <row r="92" spans="1:24" s="1" customFormat="1" ht="13.5" customHeight="1">
      <c r="A92" s="30" t="s">
        <v>99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92</v>
      </c>
      <c r="M92" s="31"/>
      <c r="N92" s="31" t="s">
        <v>155</v>
      </c>
      <c r="O92" s="31"/>
      <c r="P92" s="32">
        <f>100000</f>
        <v>100000</v>
      </c>
      <c r="Q92" s="32"/>
      <c r="R92" s="32"/>
      <c r="S92" s="32">
        <f>99700</f>
        <v>99700</v>
      </c>
      <c r="T92" s="32"/>
      <c r="U92" s="32"/>
      <c r="V92" s="32"/>
      <c r="W92" s="33">
        <f>300</f>
        <v>300</v>
      </c>
      <c r="X92" s="33"/>
    </row>
    <row r="93" spans="1:24" s="1" customFormat="1" ht="13.5" customHeight="1">
      <c r="A93" s="30" t="s">
        <v>99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92</v>
      </c>
      <c r="M93" s="31"/>
      <c r="N93" s="31" t="s">
        <v>156</v>
      </c>
      <c r="O93" s="31"/>
      <c r="P93" s="32">
        <f>400000</f>
        <v>400000</v>
      </c>
      <c r="Q93" s="32"/>
      <c r="R93" s="32"/>
      <c r="S93" s="32">
        <f>28570.77</f>
        <v>28570.77</v>
      </c>
      <c r="T93" s="32"/>
      <c r="U93" s="32"/>
      <c r="V93" s="32"/>
      <c r="W93" s="33">
        <f>371429.23</f>
        <v>371429.23</v>
      </c>
      <c r="X93" s="33"/>
    </row>
    <row r="94" spans="1:24" s="1" customFormat="1" ht="13.5" customHeight="1">
      <c r="A94" s="30" t="s">
        <v>99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92</v>
      </c>
      <c r="M94" s="31"/>
      <c r="N94" s="31" t="s">
        <v>157</v>
      </c>
      <c r="O94" s="31"/>
      <c r="P94" s="32">
        <f>2650011.59</f>
        <v>2650011.59</v>
      </c>
      <c r="Q94" s="32"/>
      <c r="R94" s="32"/>
      <c r="S94" s="32">
        <f>496844.81</f>
        <v>496844.81</v>
      </c>
      <c r="T94" s="32"/>
      <c r="U94" s="32"/>
      <c r="V94" s="32"/>
      <c r="W94" s="33">
        <f>2153166.78</f>
        <v>2153166.78</v>
      </c>
      <c r="X94" s="33"/>
    </row>
    <row r="95" spans="1:24" s="1" customFormat="1" ht="13.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92</v>
      </c>
      <c r="M95" s="31"/>
      <c r="N95" s="31" t="s">
        <v>158</v>
      </c>
      <c r="O95" s="31"/>
      <c r="P95" s="32">
        <f>30000</f>
        <v>30000</v>
      </c>
      <c r="Q95" s="32"/>
      <c r="R95" s="32"/>
      <c r="S95" s="34" t="s">
        <v>46</v>
      </c>
      <c r="T95" s="34"/>
      <c r="U95" s="34"/>
      <c r="V95" s="34"/>
      <c r="W95" s="33">
        <f>30000</f>
        <v>30000</v>
      </c>
      <c r="X95" s="33"/>
    </row>
    <row r="96" spans="1:24" s="1" customFormat="1" ht="33.75" customHeight="1">
      <c r="A96" s="30" t="s">
        <v>159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92</v>
      </c>
      <c r="M96" s="31"/>
      <c r="N96" s="31" t="s">
        <v>160</v>
      </c>
      <c r="O96" s="31"/>
      <c r="P96" s="32">
        <f>13425000</f>
        <v>13425000</v>
      </c>
      <c r="Q96" s="32"/>
      <c r="R96" s="32"/>
      <c r="S96" s="32">
        <f>2237500</f>
        <v>2237500</v>
      </c>
      <c r="T96" s="32"/>
      <c r="U96" s="32"/>
      <c r="V96" s="32"/>
      <c r="W96" s="33">
        <f>11187500</f>
        <v>11187500</v>
      </c>
      <c r="X96" s="33"/>
    </row>
    <row r="97" spans="1:24" s="1" customFormat="1" ht="33.75" customHeight="1">
      <c r="A97" s="30" t="s">
        <v>159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92</v>
      </c>
      <c r="M97" s="31"/>
      <c r="N97" s="31" t="s">
        <v>161</v>
      </c>
      <c r="O97" s="31"/>
      <c r="P97" s="32">
        <f>45000</f>
        <v>45000</v>
      </c>
      <c r="Q97" s="32"/>
      <c r="R97" s="32"/>
      <c r="S97" s="34" t="s">
        <v>46</v>
      </c>
      <c r="T97" s="34"/>
      <c r="U97" s="34"/>
      <c r="V97" s="34"/>
      <c r="W97" s="33">
        <f>45000</f>
        <v>45000</v>
      </c>
      <c r="X97" s="33"/>
    </row>
    <row r="98" spans="1:24" s="1" customFormat="1" ht="13.5" customHeight="1">
      <c r="A98" s="30" t="s">
        <v>99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92</v>
      </c>
      <c r="M98" s="31"/>
      <c r="N98" s="31" t="s">
        <v>162</v>
      </c>
      <c r="O98" s="31"/>
      <c r="P98" s="32">
        <f>180000</f>
        <v>180000</v>
      </c>
      <c r="Q98" s="32"/>
      <c r="R98" s="32"/>
      <c r="S98" s="34" t="s">
        <v>46</v>
      </c>
      <c r="T98" s="34"/>
      <c r="U98" s="34"/>
      <c r="V98" s="34"/>
      <c r="W98" s="33">
        <f>180000</f>
        <v>180000</v>
      </c>
      <c r="X98" s="33"/>
    </row>
    <row r="99" spans="1:24" s="1" customFormat="1" ht="13.5" customHeight="1">
      <c r="A99" s="30" t="s">
        <v>163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92</v>
      </c>
      <c r="M99" s="31"/>
      <c r="N99" s="31" t="s">
        <v>164</v>
      </c>
      <c r="O99" s="31"/>
      <c r="P99" s="32">
        <f>587600</f>
        <v>587600</v>
      </c>
      <c r="Q99" s="32"/>
      <c r="R99" s="32"/>
      <c r="S99" s="32">
        <f>49857.35</f>
        <v>49857.35</v>
      </c>
      <c r="T99" s="32"/>
      <c r="U99" s="32"/>
      <c r="V99" s="32"/>
      <c r="W99" s="33">
        <f>537742.65</f>
        <v>537742.65</v>
      </c>
      <c r="X99" s="33"/>
    </row>
    <row r="100" spans="1:24" s="1" customFormat="1" ht="33.75" customHeight="1">
      <c r="A100" s="30" t="s">
        <v>159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92</v>
      </c>
      <c r="M100" s="31"/>
      <c r="N100" s="31" t="s">
        <v>165</v>
      </c>
      <c r="O100" s="31"/>
      <c r="P100" s="32">
        <f>2080000</f>
        <v>2080000</v>
      </c>
      <c r="Q100" s="32"/>
      <c r="R100" s="32"/>
      <c r="S100" s="32">
        <f>346666</f>
        <v>346666</v>
      </c>
      <c r="T100" s="32"/>
      <c r="U100" s="32"/>
      <c r="V100" s="32"/>
      <c r="W100" s="33">
        <f>1733334</f>
        <v>1733334</v>
      </c>
      <c r="X100" s="33"/>
    </row>
    <row r="101" spans="1:24" s="1" customFormat="1" ht="24" customHeight="1">
      <c r="A101" s="30" t="s">
        <v>166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92</v>
      </c>
      <c r="M101" s="31"/>
      <c r="N101" s="31" t="s">
        <v>167</v>
      </c>
      <c r="O101" s="31"/>
      <c r="P101" s="32">
        <f>70060700</f>
        <v>70060700</v>
      </c>
      <c r="Q101" s="32"/>
      <c r="R101" s="32"/>
      <c r="S101" s="34" t="s">
        <v>46</v>
      </c>
      <c r="T101" s="34"/>
      <c r="U101" s="34"/>
      <c r="V101" s="34"/>
      <c r="W101" s="33">
        <f>70060700</f>
        <v>70060700</v>
      </c>
      <c r="X101" s="33"/>
    </row>
    <row r="102" spans="1:24" s="1" customFormat="1" ht="13.5" customHeight="1">
      <c r="A102" s="30" t="s">
        <v>99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92</v>
      </c>
      <c r="M102" s="31"/>
      <c r="N102" s="31" t="s">
        <v>168</v>
      </c>
      <c r="O102" s="31"/>
      <c r="P102" s="32">
        <f>800000</f>
        <v>800000</v>
      </c>
      <c r="Q102" s="32"/>
      <c r="R102" s="32"/>
      <c r="S102" s="32">
        <f>112825</f>
        <v>112825</v>
      </c>
      <c r="T102" s="32"/>
      <c r="U102" s="32"/>
      <c r="V102" s="32"/>
      <c r="W102" s="33">
        <f>687175</f>
        <v>687175</v>
      </c>
      <c r="X102" s="33"/>
    </row>
    <row r="103" spans="1:24" s="1" customFormat="1" ht="13.5" customHeight="1">
      <c r="A103" s="30" t="s">
        <v>169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92</v>
      </c>
      <c r="M103" s="31"/>
      <c r="N103" s="31" t="s">
        <v>170</v>
      </c>
      <c r="O103" s="31"/>
      <c r="P103" s="32">
        <f>320000</f>
        <v>320000</v>
      </c>
      <c r="Q103" s="32"/>
      <c r="R103" s="32"/>
      <c r="S103" s="32">
        <f>54356.16</f>
        <v>54356.16</v>
      </c>
      <c r="T103" s="32"/>
      <c r="U103" s="32"/>
      <c r="V103" s="32"/>
      <c r="W103" s="33">
        <f>265643.84</f>
        <v>265643.84</v>
      </c>
      <c r="X103" s="33"/>
    </row>
    <row r="104" spans="1:24" s="1" customFormat="1" ht="15" customHeight="1">
      <c r="A104" s="36" t="s">
        <v>171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 t="s">
        <v>172</v>
      </c>
      <c r="M104" s="37"/>
      <c r="N104" s="37" t="s">
        <v>37</v>
      </c>
      <c r="O104" s="37"/>
      <c r="P104" s="38">
        <f>465988.41</f>
        <v>465988.41</v>
      </c>
      <c r="Q104" s="38"/>
      <c r="R104" s="38"/>
      <c r="S104" s="38">
        <f>-51752.17</f>
        <v>-51752.17</v>
      </c>
      <c r="T104" s="38"/>
      <c r="U104" s="38"/>
      <c r="V104" s="38"/>
      <c r="W104" s="39" t="s">
        <v>37</v>
      </c>
      <c r="X104" s="39"/>
    </row>
    <row r="105" spans="1:24" s="1" customFormat="1" ht="13.5" customHeight="1">
      <c r="A105" s="7" t="s">
        <v>17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12" t="s">
        <v>173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 t="s">
        <v>24</v>
      </c>
      <c r="M107" s="13"/>
      <c r="N107" s="13" t="s">
        <v>174</v>
      </c>
      <c r="O107" s="13"/>
      <c r="P107" s="14" t="s">
        <v>26</v>
      </c>
      <c r="Q107" s="14"/>
      <c r="R107" s="14"/>
      <c r="S107" s="14" t="s">
        <v>27</v>
      </c>
      <c r="T107" s="14"/>
      <c r="U107" s="14"/>
      <c r="V107" s="14"/>
      <c r="W107" s="15" t="s">
        <v>28</v>
      </c>
      <c r="X107" s="15"/>
    </row>
    <row r="108" spans="1:24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30</v>
      </c>
      <c r="M108" s="16"/>
      <c r="N108" s="16" t="s">
        <v>31</v>
      </c>
      <c r="O108" s="16"/>
      <c r="P108" s="17" t="s">
        <v>32</v>
      </c>
      <c r="Q108" s="17"/>
      <c r="R108" s="17"/>
      <c r="S108" s="17" t="s">
        <v>33</v>
      </c>
      <c r="T108" s="17"/>
      <c r="U108" s="17"/>
      <c r="V108" s="17"/>
      <c r="W108" s="18" t="s">
        <v>34</v>
      </c>
      <c r="X108" s="18"/>
    </row>
    <row r="109" spans="1:24" s="1" customFormat="1" ht="13.5" customHeight="1">
      <c r="A109" s="19" t="s">
        <v>175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 t="s">
        <v>176</v>
      </c>
      <c r="M109" s="20"/>
      <c r="N109" s="20" t="s">
        <v>37</v>
      </c>
      <c r="O109" s="20"/>
      <c r="P109" s="40">
        <f>-465988.41</f>
        <v>-465988.41</v>
      </c>
      <c r="Q109" s="40"/>
      <c r="R109" s="40"/>
      <c r="S109" s="21">
        <f>51752.17</f>
        <v>51752.17</v>
      </c>
      <c r="T109" s="21"/>
      <c r="U109" s="21"/>
      <c r="V109" s="21"/>
      <c r="W109" s="41" t="s">
        <v>37</v>
      </c>
      <c r="X109" s="41"/>
    </row>
    <row r="110" spans="1:24" s="1" customFormat="1" ht="13.5" customHeight="1">
      <c r="A110" s="42" t="s">
        <v>177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3" t="s">
        <v>17</v>
      </c>
      <c r="M110" s="43"/>
      <c r="N110" s="43" t="s">
        <v>17</v>
      </c>
      <c r="O110" s="43"/>
      <c r="P110" s="44" t="s">
        <v>17</v>
      </c>
      <c r="Q110" s="44"/>
      <c r="R110" s="44"/>
      <c r="S110" s="45" t="s">
        <v>17</v>
      </c>
      <c r="T110" s="45"/>
      <c r="U110" s="45"/>
      <c r="V110" s="45"/>
      <c r="W110" s="46" t="s">
        <v>17</v>
      </c>
      <c r="X110" s="46"/>
    </row>
    <row r="111" spans="1:24" s="1" customFormat="1" ht="13.5" customHeight="1">
      <c r="A111" s="23" t="s">
        <v>178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47" t="s">
        <v>179</v>
      </c>
      <c r="M111" s="47"/>
      <c r="N111" s="24" t="s">
        <v>37</v>
      </c>
      <c r="O111" s="24"/>
      <c r="P111" s="48">
        <f>-2000000</f>
        <v>-2000000</v>
      </c>
      <c r="Q111" s="48"/>
      <c r="R111" s="48"/>
      <c r="S111" s="27" t="s">
        <v>46</v>
      </c>
      <c r="T111" s="27"/>
      <c r="U111" s="27"/>
      <c r="V111" s="27"/>
      <c r="W111" s="49">
        <f>-2000000</f>
        <v>-2000000</v>
      </c>
      <c r="X111" s="49"/>
    </row>
    <row r="112" spans="1:24" s="1" customFormat="1" ht="24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179</v>
      </c>
      <c r="M112" s="31"/>
      <c r="N112" s="31" t="s">
        <v>181</v>
      </c>
      <c r="O112" s="31"/>
      <c r="P112" s="50">
        <f>-2000000</f>
        <v>-2000000</v>
      </c>
      <c r="Q112" s="50"/>
      <c r="R112" s="50"/>
      <c r="S112" s="34" t="s">
        <v>46</v>
      </c>
      <c r="T112" s="34"/>
      <c r="U112" s="34"/>
      <c r="V112" s="34"/>
      <c r="W112" s="51">
        <f>-2000000</f>
        <v>-2000000</v>
      </c>
      <c r="X112" s="51"/>
    </row>
    <row r="113" spans="1:24" s="1" customFormat="1" ht="13.5" customHeight="1">
      <c r="A113" s="30" t="s">
        <v>182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43" t="s">
        <v>183</v>
      </c>
      <c r="M113" s="43"/>
      <c r="N113" s="43" t="s">
        <v>37</v>
      </c>
      <c r="O113" s="43"/>
      <c r="P113" s="44" t="s">
        <v>46</v>
      </c>
      <c r="Q113" s="44"/>
      <c r="R113" s="44"/>
      <c r="S113" s="34" t="s">
        <v>46</v>
      </c>
      <c r="T113" s="34"/>
      <c r="U113" s="34"/>
      <c r="V113" s="34"/>
      <c r="W113" s="46" t="s">
        <v>46</v>
      </c>
      <c r="X113" s="46"/>
    </row>
    <row r="114" spans="1:24" s="1" customFormat="1" ht="13.5" customHeight="1">
      <c r="A114" s="30" t="s">
        <v>17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183</v>
      </c>
      <c r="M114" s="31"/>
      <c r="N114" s="31" t="s">
        <v>17</v>
      </c>
      <c r="O114" s="31"/>
      <c r="P114" s="52" t="s">
        <v>46</v>
      </c>
      <c r="Q114" s="52"/>
      <c r="R114" s="52"/>
      <c r="S114" s="34" t="s">
        <v>46</v>
      </c>
      <c r="T114" s="34"/>
      <c r="U114" s="34"/>
      <c r="V114" s="34"/>
      <c r="W114" s="53" t="s">
        <v>46</v>
      </c>
      <c r="X114" s="53"/>
    </row>
    <row r="115" spans="1:24" s="1" customFormat="1" ht="13.5" customHeight="1">
      <c r="A115" s="30" t="s">
        <v>184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185</v>
      </c>
      <c r="M115" s="31"/>
      <c r="N115" s="31" t="s">
        <v>186</v>
      </c>
      <c r="O115" s="31"/>
      <c r="P115" s="50">
        <f>1534011.59</f>
        <v>1534011.59</v>
      </c>
      <c r="Q115" s="50"/>
      <c r="R115" s="50"/>
      <c r="S115" s="32">
        <f>51752.17</f>
        <v>51752.17</v>
      </c>
      <c r="T115" s="32"/>
      <c r="U115" s="32"/>
      <c r="V115" s="32"/>
      <c r="W115" s="51">
        <f>1482259.42</f>
        <v>1482259.42</v>
      </c>
      <c r="X115" s="51"/>
    </row>
    <row r="116" spans="1:24" s="1" customFormat="1" ht="13.5" customHeight="1">
      <c r="A116" s="30" t="s">
        <v>187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188</v>
      </c>
      <c r="M116" s="31"/>
      <c r="N116" s="31" t="s">
        <v>189</v>
      </c>
      <c r="O116" s="31"/>
      <c r="P116" s="50">
        <f>-149362700</f>
        <v>-149362700</v>
      </c>
      <c r="Q116" s="50"/>
      <c r="R116" s="50"/>
      <c r="S116" s="32">
        <f>-34316039.01</f>
        <v>-34316039.01</v>
      </c>
      <c r="T116" s="32"/>
      <c r="U116" s="32"/>
      <c r="V116" s="32"/>
      <c r="W116" s="54" t="s">
        <v>37</v>
      </c>
      <c r="X116" s="54"/>
    </row>
    <row r="117" spans="1:24" s="1" customFormat="1" ht="13.5" customHeight="1">
      <c r="A117" s="30" t="s">
        <v>190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191</v>
      </c>
      <c r="M117" s="31"/>
      <c r="N117" s="31" t="s">
        <v>192</v>
      </c>
      <c r="O117" s="31"/>
      <c r="P117" s="50">
        <f>150896711.59</f>
        <v>150896711.59</v>
      </c>
      <c r="Q117" s="50"/>
      <c r="R117" s="50"/>
      <c r="S117" s="32">
        <f>34367791.18</f>
        <v>34367791.18</v>
      </c>
      <c r="T117" s="32"/>
      <c r="U117" s="32"/>
      <c r="V117" s="32"/>
      <c r="W117" s="54" t="s">
        <v>37</v>
      </c>
      <c r="X117" s="54"/>
    </row>
    <row r="118" spans="1:24" s="1" customFormat="1" ht="13.5" customHeight="1">
      <c r="A118" s="56" t="s">
        <v>17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s="1" customFormat="1" ht="24" customHeight="1">
      <c r="A119" s="7" t="s">
        <v>193</v>
      </c>
      <c r="B119" s="7"/>
      <c r="C119" s="7"/>
      <c r="D119" s="7"/>
      <c r="E119" s="7"/>
      <c r="F119" s="7"/>
      <c r="G119" s="7"/>
      <c r="H119" s="7"/>
      <c r="I119" s="55" t="s">
        <v>17</v>
      </c>
      <c r="J119" s="55"/>
      <c r="K119" s="55"/>
      <c r="L119" s="55"/>
      <c r="M119" s="55"/>
      <c r="N119" s="55" t="s">
        <v>194</v>
      </c>
      <c r="O119" s="55"/>
      <c r="P119" s="55"/>
      <c r="Q119" s="55"/>
      <c r="R119" s="7" t="s">
        <v>17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10" t="s">
        <v>17</v>
      </c>
      <c r="J120" s="57" t="s">
        <v>195</v>
      </c>
      <c r="K120" s="57"/>
      <c r="L120" s="57"/>
      <c r="M120" s="10" t="s">
        <v>17</v>
      </c>
      <c r="N120" s="10" t="s">
        <v>17</v>
      </c>
      <c r="O120" s="57" t="s">
        <v>196</v>
      </c>
      <c r="P120" s="57"/>
      <c r="Q120" s="7" t="s">
        <v>17</v>
      </c>
      <c r="R120" s="7"/>
      <c r="S120" s="7"/>
      <c r="T120" s="7"/>
      <c r="U120" s="7"/>
      <c r="V120" s="7"/>
      <c r="W120" s="7"/>
      <c r="X120" s="7"/>
    </row>
    <row r="121" spans="1:24" s="1" customFormat="1" ht="7.5" customHeight="1">
      <c r="A121" s="7" t="s">
        <v>17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197</v>
      </c>
      <c r="B122" s="7"/>
      <c r="C122" s="7"/>
      <c r="D122" s="7"/>
      <c r="E122" s="7"/>
      <c r="F122" s="7"/>
      <c r="G122" s="7"/>
      <c r="H122" s="7"/>
      <c r="I122" s="55" t="s">
        <v>17</v>
      </c>
      <c r="J122" s="55"/>
      <c r="K122" s="55"/>
      <c r="L122" s="55"/>
      <c r="M122" s="55"/>
      <c r="N122" s="55" t="s">
        <v>198</v>
      </c>
      <c r="O122" s="55"/>
      <c r="P122" s="55"/>
      <c r="Q122" s="55"/>
      <c r="R122" s="7" t="s">
        <v>17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17</v>
      </c>
      <c r="B123" s="7"/>
      <c r="C123" s="7"/>
      <c r="D123" s="7"/>
      <c r="E123" s="7"/>
      <c r="F123" s="7"/>
      <c r="G123" s="7"/>
      <c r="H123" s="7"/>
      <c r="I123" s="10" t="s">
        <v>17</v>
      </c>
      <c r="J123" s="57" t="s">
        <v>195</v>
      </c>
      <c r="K123" s="57"/>
      <c r="L123" s="57"/>
      <c r="M123" s="10" t="s">
        <v>17</v>
      </c>
      <c r="N123" s="10" t="s">
        <v>17</v>
      </c>
      <c r="O123" s="57" t="s">
        <v>196</v>
      </c>
      <c r="P123" s="57"/>
      <c r="Q123" s="7" t="s">
        <v>17</v>
      </c>
      <c r="R123" s="7"/>
      <c r="S123" s="7"/>
      <c r="T123" s="7"/>
      <c r="U123" s="7"/>
      <c r="V123" s="7"/>
      <c r="W123" s="7"/>
      <c r="X123" s="7"/>
    </row>
    <row r="124" spans="1:24" s="1" customFormat="1" ht="7.5" customHeight="1">
      <c r="A124" s="7" t="s">
        <v>17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199</v>
      </c>
      <c r="B125" s="7"/>
      <c r="C125" s="55" t="s">
        <v>200</v>
      </c>
      <c r="D125" s="55"/>
      <c r="E125" s="55"/>
      <c r="F125" s="55"/>
      <c r="G125" s="55"/>
      <c r="H125" s="55"/>
      <c r="I125" s="55" t="s">
        <v>17</v>
      </c>
      <c r="J125" s="55"/>
      <c r="K125" s="55"/>
      <c r="L125" s="55"/>
      <c r="M125" s="55"/>
      <c r="N125" s="55" t="s">
        <v>201</v>
      </c>
      <c r="O125" s="55"/>
      <c r="P125" s="55"/>
      <c r="Q125" s="55"/>
      <c r="R125" s="7" t="s">
        <v>17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17</v>
      </c>
      <c r="B126" s="7"/>
      <c r="C126" s="10" t="s">
        <v>17</v>
      </c>
      <c r="D126" s="57" t="s">
        <v>202</v>
      </c>
      <c r="E126" s="57"/>
      <c r="F126" s="57"/>
      <c r="G126" s="57"/>
      <c r="H126" s="10" t="s">
        <v>17</v>
      </c>
      <c r="I126" s="10" t="s">
        <v>17</v>
      </c>
      <c r="J126" s="57" t="s">
        <v>195</v>
      </c>
      <c r="K126" s="57"/>
      <c r="L126" s="57"/>
      <c r="M126" s="10" t="s">
        <v>17</v>
      </c>
      <c r="N126" s="10" t="s">
        <v>17</v>
      </c>
      <c r="O126" s="57" t="s">
        <v>196</v>
      </c>
      <c r="P126" s="57"/>
      <c r="Q126" s="7" t="s">
        <v>17</v>
      </c>
      <c r="R126" s="7"/>
      <c r="S126" s="7"/>
      <c r="T126" s="7"/>
      <c r="U126" s="7"/>
      <c r="V126" s="7"/>
      <c r="W126" s="7"/>
      <c r="X126" s="7"/>
    </row>
    <row r="127" spans="1:24" s="1" customFormat="1" ht="15.7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58" t="s">
        <v>203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7" t="s">
        <v>17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4" t="s">
        <v>204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</sheetData>
  <sheetProtection/>
  <mergeCells count="677">
    <mergeCell ref="A128:J128"/>
    <mergeCell ref="K128:X128"/>
    <mergeCell ref="A129:X129"/>
    <mergeCell ref="A126:B126"/>
    <mergeCell ref="D126:G126"/>
    <mergeCell ref="J126:L126"/>
    <mergeCell ref="O126:P126"/>
    <mergeCell ref="Q126:X126"/>
    <mergeCell ref="A127:X127"/>
    <mergeCell ref="A124:X124"/>
    <mergeCell ref="A125:B125"/>
    <mergeCell ref="C125:H125"/>
    <mergeCell ref="I125:M125"/>
    <mergeCell ref="N125:Q125"/>
    <mergeCell ref="R125:X125"/>
    <mergeCell ref="A121:X121"/>
    <mergeCell ref="A122:H122"/>
    <mergeCell ref="I122:M122"/>
    <mergeCell ref="N122:Q122"/>
    <mergeCell ref="R122:X122"/>
    <mergeCell ref="A123:H123"/>
    <mergeCell ref="J123:L123"/>
    <mergeCell ref="O123:P123"/>
    <mergeCell ref="Q123:X123"/>
    <mergeCell ref="A118:X118"/>
    <mergeCell ref="A119:H119"/>
    <mergeCell ref="I119:M119"/>
    <mergeCell ref="N119:Q119"/>
    <mergeCell ref="R119:X119"/>
    <mergeCell ref="A120:H120"/>
    <mergeCell ref="J120:L120"/>
    <mergeCell ref="O120:P120"/>
    <mergeCell ref="Q120:X120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5:X105"/>
    <mergeCell ref="A106:X106"/>
    <mergeCell ref="A107:K107"/>
    <mergeCell ref="L107:M107"/>
    <mergeCell ref="N107:O107"/>
    <mergeCell ref="P107:R107"/>
    <mergeCell ref="S107:V107"/>
    <mergeCell ref="W107:X107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2022-04-26T08:23:00Z</dcterms:created>
  <dcterms:modified xsi:type="dcterms:W3CDTF">2022-04-26T08:23:00Z</dcterms:modified>
  <cp:category/>
  <cp:version/>
  <cp:contentType/>
  <cp:contentStatus/>
</cp:coreProperties>
</file>