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<sst xmlns="http://schemas.openxmlformats.org/spreadsheetml/2006/main" count="502" uniqueCount="227">
  <si>
    <t>ОТЧЕТ ОБ ИСПОЛНЕНИИ БЮДЖЕТА</t>
  </si>
  <si>
    <t>КОДЫ</t>
  </si>
  <si>
    <t xml:space="preserve">Форма по ОКУД </t>
  </si>
  <si>
    <t>0503117</t>
  </si>
  <si>
    <t>на 1 сентября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</si>
  <si>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</si>
  <si>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</si>
  <si>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</si>
  <si>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</si>
  <si>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</si>
  <si>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</si>
  <si>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</si>
  <si>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</si>
  <si>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</si>
  <si>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</si>
  <si>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</si>
  <si>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</si>
  <si>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</si>
  <si>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</si>
  <si>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</si>
  <si>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</si>
  <si>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</si>
  <si>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</si>
  <si>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</si>
  <si>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</si>
  <si>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</si>
  <si>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</si>
  <si>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</si>
  <si>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</si>
  <si>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</si>
  <si>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</si>
  <si>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</si>
  <si>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</si>
  <si>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</si>
  <si>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</si>
  <si>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</si>
  <si>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</si>
  <si>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</si>
  <si>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</si>
  <si>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</si>
  <si>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</si>
  <si>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</si>
  <si>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</si>
  <si>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</si>
  <si>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</si>
  <si>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</si>
  <si>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</si>
  <si>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</si>
  <si>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</si>
  <si>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</si>
  <si>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</si>
  <si>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</si>
  <si>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</si>
  <si>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</si>
  <si>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</si>
  <si>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</si>
  <si>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</si>
  <si>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</si>
  <si>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</si>
  <si>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</si>
  <si>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</si>
  <si>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</si>
  <si>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</si>
  <si>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</si>
  <si>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</si>
  <si>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</si>
  <si>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</si>
  <si>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</si>
  <si>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</si>
  <si>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</si>
  <si>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</si>
  <si>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</si>
  <si>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</si>
  <si>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</si>
  <si>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</si>
  <si>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</si>
  <si>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</si>
  <si>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</si>
  <si>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</si>
  <si>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</si>
  <si>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</si>
  <si>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</si>
  <si>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</si>
  <si>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</si>
  <si>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</si>
  <si>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</si>
  <si>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</si>
  <si>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</si>
  <si>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</si>
  <si>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</si>
  <si>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</si>
  <si>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</si>
  <si>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</si>
  <si>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</si>
  <si>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</si>
  <si>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</si>
  <si>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</si>
  <si>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</si>
  <si>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</si>
  <si>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</si>
  <si>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</si>
  <si>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</si>
  <si>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</si>
  <si>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</si>
  <si>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</si>
  <si>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</si>
  <si>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</si>
  <si>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</si>
  <si>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</si>
  <si>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</si>
  <si>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</si>
  <si>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</si>
  <si>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</si>
  <si>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</si>
  <si>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</si>
  <si>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</si>
  <si>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</si>
  <si>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</si>
  <si>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</si>
  <si>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</si>
  <si>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</si>
  <si>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</si>
  <si>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</si>
  <si>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</si>
  <si>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</si>
  <si>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</si>
  <si>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</si>
  <si>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</si>
  <si>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</si>
  <si>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</si>
  <si>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</si>
  <si>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</si>
  <si>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992 0113 5210010390 244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</si>
  <si>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</si>
  <si>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</si>
  <si>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</si>
  <si>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</si>
  <si>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</si>
  <si>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</si>
  <si>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</si>
  <si>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</si>
  <si>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</si>
  <si>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</si>
  <si>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</si>
  <si>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</si>
  <si>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</si>
  <si>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</si>
  <si>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</si>
  <si>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</si>
  <si>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992 0409 2020100000 853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</si>
  <si>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</si>
  <si>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</si>
  <si>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</si>
  <si>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</si>
  <si>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</si>
  <si>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</si>
  <si>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</si>
  <si>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</si>
  <si>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</si>
  <si>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</si>
  <si>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</si>
  <si>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</si>
  <si>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</si>
  <si>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</si>
  <si>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</si>
  <si>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</si>
  <si>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</si>
  <si>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992 0503 2501000000 244</t>
  </si>
  <si>
    <t>992 0503 2501200000 244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</si>
  <si>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</si>
  <si>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</si>
  <si>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</si>
  <si>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</si>
  <si>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</si>
  <si>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</si>
  <si>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</si>
  <si>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</si>
  <si>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</si>
  <si>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</si>
  <si>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</si>
  <si>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</si>
  <si>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</si>
  <si>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</si>
  <si>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</si>
  <si>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</si>
  <si>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992 1102 1300800000 414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</si>
  <si>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</si>
  <si>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</si>
  <si>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</si>
  <si>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</si>
  <si>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</si>
  <si>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</si>
  <si>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</si>
  <si>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</si>
  <si>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</si>
  <si>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</si>
  <si>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</si>
  <si>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</si>
  <si>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</si>
  <si>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</si>
  <si>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</si>
  <si>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</si>
  <si>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</si>
  <si>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</si>
  <si>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</si>
  <si>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</si>
  <si>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</si>
  <si>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</si>
  <si>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</si>
  <si>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</si>
  <si>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</si>
  <si>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</si>
  <si>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</si>
  <si>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</si>
  <si>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</si>
  <si>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</si>
  <si>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</si>
  <si>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</si>
  <si>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</si>
  <si>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</si>
  <si>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</si>
  <si>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</si>
  <si>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</si>
  <si>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</si>
  <si>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</si>
  <si>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4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</si>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</sst>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45170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120931000</f>
        <v>120931000</v>
      </c>
      <c r="Q12" s="21"/>
      <c r="R12" s="21"/>
      <c r="S12" s="21">
        <f>62415315.2</f>
        <v>62415315.2</v>
      </c>
      <c r="T12" s="21"/>
      <c r="U12" s="21"/>
      <c r="V12" s="21"/>
      <c r="W12" s="22">
        <f>58515684.8</f>
        <v>58515684.8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16585717.38</f>
        <v>16585717.38</v>
      </c>
      <c r="T13" s="25"/>
      <c r="U13" s="25"/>
      <c r="V13" s="25"/>
      <c r="W13" s="26">
        <f>9614282.62</f>
        <v>9614282.62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201155.39</f>
        <v>201155.39</v>
      </c>
      <c r="T14" s="25"/>
      <c r="U14" s="25"/>
      <c r="V14" s="25"/>
      <c r="W14" s="26">
        <f>678844.61</f>
        <v>678844.61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684362.6</f>
        <v>684362.6</v>
      </c>
      <c r="T15" s="25"/>
      <c r="U15" s="25"/>
      <c r="V15" s="25"/>
      <c r="W15" s="26">
        <f>85637.4</f>
        <v>85637.4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133459</f>
        <v>133459</v>
      </c>
      <c r="T16" s="25"/>
      <c r="U16" s="25"/>
      <c r="V16" s="25"/>
      <c r="W16" s="26">
        <f>38541</f>
        <v>38541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570192.39</f>
        <v>570192.39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95112.9</f>
        <v>95112.9</v>
      </c>
      <c r="T18" s="25"/>
      <c r="U18" s="25"/>
      <c r="V18" s="25"/>
      <c r="W18" s="28" t="s">
        <v>48</v>
      </c>
      <c r="X18" s="28"/>
    </row>
    <row r="19" spans="1:24" s="1" customFormat="1" ht="33.7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7" t="s">
        <v>48</v>
      </c>
      <c r="Q19" s="27"/>
      <c r="R19" s="27"/>
      <c r="S19" s="25">
        <f>0.13</f>
        <v>0.13</v>
      </c>
      <c r="T19" s="25"/>
      <c r="U19" s="25"/>
      <c r="V19" s="25"/>
      <c r="W19" s="28" t="s">
        <v>48</v>
      </c>
      <c r="X19" s="28"/>
    </row>
    <row r="20" spans="1:24" s="1" customFormat="1" ht="66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2860000</f>
        <v>2860000</v>
      </c>
      <c r="Q20" s="25"/>
      <c r="R20" s="25"/>
      <c r="S20" s="25">
        <f>2332789.91</f>
        <v>2332789.91</v>
      </c>
      <c r="T20" s="25"/>
      <c r="U20" s="25"/>
      <c r="V20" s="25"/>
      <c r="W20" s="26">
        <f>527210.09</f>
        <v>527210.09</v>
      </c>
      <c r="X20" s="26"/>
    </row>
    <row r="21" spans="1:24" s="1" customFormat="1" ht="75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12419</f>
        <v>12419</v>
      </c>
      <c r="T21" s="25"/>
      <c r="U21" s="25"/>
      <c r="V21" s="25"/>
      <c r="W21" s="26">
        <f>17581</f>
        <v>17581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3219300</f>
        <v>3219300</v>
      </c>
      <c r="Q22" s="25"/>
      <c r="R22" s="25"/>
      <c r="S22" s="25">
        <f>2474081.19</f>
        <v>2474081.19</v>
      </c>
      <c r="T22" s="25"/>
      <c r="U22" s="25"/>
      <c r="V22" s="25"/>
      <c r="W22" s="26">
        <f>745218.81</f>
        <v>745218.81</v>
      </c>
      <c r="X22" s="26"/>
    </row>
    <row r="23" spans="1:24" s="1" customFormat="1" ht="66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7" t="s">
        <v>48</v>
      </c>
      <c r="Q23" s="27"/>
      <c r="R23" s="27"/>
      <c r="S23" s="25">
        <f>-273336.63</f>
        <v>-273336.63</v>
      </c>
      <c r="T23" s="25"/>
      <c r="U23" s="25"/>
      <c r="V23" s="25"/>
      <c r="W23" s="28" t="s">
        <v>48</v>
      </c>
      <c r="X23" s="28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1733000</f>
        <v>1733000</v>
      </c>
      <c r="Q24" s="25"/>
      <c r="R24" s="25"/>
      <c r="S24" s="25">
        <f>1662843.95</f>
        <v>1662843.95</v>
      </c>
      <c r="T24" s="25"/>
      <c r="U24" s="25"/>
      <c r="V24" s="25"/>
      <c r="W24" s="26">
        <f>70156.05</f>
        <v>70156.05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48</v>
      </c>
      <c r="Q25" s="27"/>
      <c r="R25" s="27"/>
      <c r="S25" s="25">
        <f>0</f>
        <v>0</v>
      </c>
      <c r="T25" s="25"/>
      <c r="U25" s="25"/>
      <c r="V25" s="25"/>
      <c r="W25" s="28" t="s">
        <v>48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7250000</f>
        <v>7250000</v>
      </c>
      <c r="Q26" s="25"/>
      <c r="R26" s="25"/>
      <c r="S26" s="25">
        <f>446467.99</f>
        <v>446467.99</v>
      </c>
      <c r="T26" s="25"/>
      <c r="U26" s="25"/>
      <c r="V26" s="25"/>
      <c r="W26" s="26">
        <f>6803532.01</f>
        <v>6803532.01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2200000</f>
        <v>2200000</v>
      </c>
      <c r="Q27" s="25"/>
      <c r="R27" s="25"/>
      <c r="S27" s="25">
        <f>1358796.8</f>
        <v>1358796.8</v>
      </c>
      <c r="T27" s="25"/>
      <c r="U27" s="25"/>
      <c r="V27" s="25"/>
      <c r="W27" s="26">
        <f>841203.2</f>
        <v>841203.2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7300000</f>
        <v>7300000</v>
      </c>
      <c r="Q28" s="25"/>
      <c r="R28" s="25"/>
      <c r="S28" s="25">
        <f>46935.76</f>
        <v>46935.76</v>
      </c>
      <c r="T28" s="25"/>
      <c r="U28" s="25"/>
      <c r="V28" s="25"/>
      <c r="W28" s="26">
        <f>7253064.24</f>
        <v>7253064.24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402.82</f>
        <v>402.82</v>
      </c>
      <c r="T29" s="25"/>
      <c r="U29" s="25"/>
      <c r="V29" s="25"/>
      <c r="W29" s="28" t="s">
        <v>48</v>
      </c>
      <c r="X29" s="28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4871.17</f>
        <v>4871.17</v>
      </c>
      <c r="T30" s="25"/>
      <c r="U30" s="25"/>
      <c r="V30" s="25"/>
      <c r="W30" s="28" t="s">
        <v>48</v>
      </c>
      <c r="X30" s="28"/>
    </row>
    <row r="31" spans="1:24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48</v>
      </c>
      <c r="Q31" s="27"/>
      <c r="R31" s="27"/>
      <c r="S31" s="25">
        <f>170951.2</f>
        <v>170951.2</v>
      </c>
      <c r="T31" s="25"/>
      <c r="U31" s="25"/>
      <c r="V31" s="25"/>
      <c r="W31" s="28" t="s">
        <v>48</v>
      </c>
      <c r="X31" s="28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526900</f>
        <v>526900</v>
      </c>
      <c r="Q32" s="25"/>
      <c r="R32" s="25"/>
      <c r="S32" s="25">
        <f>189234</f>
        <v>189234</v>
      </c>
      <c r="T32" s="25"/>
      <c r="U32" s="25"/>
      <c r="V32" s="25"/>
      <c r="W32" s="26">
        <f>337666</f>
        <v>337666</v>
      </c>
      <c r="X32" s="26"/>
    </row>
    <row r="33" spans="1:24" s="1" customFormat="1" ht="54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87966</f>
        <v>87966</v>
      </c>
      <c r="T33" s="25"/>
      <c r="U33" s="25"/>
      <c r="V33" s="25"/>
      <c r="W33" s="28" t="s">
        <v>48</v>
      </c>
      <c r="X33" s="28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12000</f>
        <v>12000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0</f>
        <v>0</v>
      </c>
      <c r="T35" s="25"/>
      <c r="U35" s="25"/>
      <c r="V35" s="25"/>
      <c r="W35" s="28" t="s">
        <v>48</v>
      </c>
      <c r="X35" s="28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7" t="s">
        <v>48</v>
      </c>
      <c r="Q36" s="27"/>
      <c r="R36" s="27"/>
      <c r="S36" s="25">
        <f>200000</f>
        <v>200000</v>
      </c>
      <c r="T36" s="25"/>
      <c r="U36" s="25"/>
      <c r="V36" s="25"/>
      <c r="W36" s="28" t="s">
        <v>48</v>
      </c>
      <c r="X36" s="28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6466600</f>
        <v>6466600</v>
      </c>
      <c r="Q37" s="25"/>
      <c r="R37" s="25"/>
      <c r="S37" s="25">
        <f>4849900</f>
        <v>4849900</v>
      </c>
      <c r="T37" s="25"/>
      <c r="U37" s="25"/>
      <c r="V37" s="25"/>
      <c r="W37" s="26">
        <f>1616700</f>
        <v>1616700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1088400</f>
        <v>1088400</v>
      </c>
      <c r="Q38" s="25"/>
      <c r="R38" s="25"/>
      <c r="S38" s="25">
        <f>725600</f>
        <v>725600</v>
      </c>
      <c r="T38" s="25"/>
      <c r="U38" s="25"/>
      <c r="V38" s="25"/>
      <c r="W38" s="26">
        <f>362800</f>
        <v>362800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57234100</f>
        <v>57234100</v>
      </c>
      <c r="Q39" s="25"/>
      <c r="R39" s="25"/>
      <c r="S39" s="25">
        <f>27121318.25</f>
        <v>27121318.25</v>
      </c>
      <c r="T39" s="25"/>
      <c r="U39" s="25"/>
      <c r="V39" s="25"/>
      <c r="W39" s="26">
        <f>30112781.75</f>
        <v>30112781.75</v>
      </c>
      <c r="X39" s="26"/>
    </row>
    <row r="40" spans="1:24" s="1" customFormat="1" ht="24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7600</f>
        <v>7600</v>
      </c>
      <c r="Q40" s="25"/>
      <c r="R40" s="25"/>
      <c r="S40" s="25">
        <f>7600</f>
        <v>7600</v>
      </c>
      <c r="T40" s="25"/>
      <c r="U40" s="25"/>
      <c r="V40" s="25"/>
      <c r="W40" s="26">
        <f>0</f>
        <v>0</v>
      </c>
      <c r="X40" s="26"/>
    </row>
    <row r="41" spans="1:24" s="1" customFormat="1" ht="33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593100</f>
        <v>593100</v>
      </c>
      <c r="Q41" s="25"/>
      <c r="R41" s="25"/>
      <c r="S41" s="25">
        <f>314474</f>
        <v>314474</v>
      </c>
      <c r="T41" s="25"/>
      <c r="U41" s="25"/>
      <c r="V41" s="25"/>
      <c r="W41" s="26">
        <f>278626</f>
        <v>278626</v>
      </c>
      <c r="X41" s="26"/>
    </row>
    <row r="42" spans="1:24" s="1" customFormat="1" ht="24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2400000</f>
        <v>2400000</v>
      </c>
      <c r="Q42" s="25"/>
      <c r="R42" s="25"/>
      <c r="S42" s="25">
        <f>2400000</f>
        <v>2400000</v>
      </c>
      <c r="T42" s="25"/>
      <c r="U42" s="25"/>
      <c r="V42" s="25"/>
      <c r="W42" s="26">
        <f>0</f>
        <v>0</v>
      </c>
      <c r="X42" s="26"/>
    </row>
    <row r="43" spans="1:24" s="1" customFormat="1" ht="54.75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7" t="s">
        <v>48</v>
      </c>
      <c r="Q43" s="27"/>
      <c r="R43" s="27"/>
      <c r="S43" s="25">
        <f>0</f>
        <v>0</v>
      </c>
      <c r="T43" s="25"/>
      <c r="U43" s="25"/>
      <c r="V43" s="25"/>
      <c r="W43" s="28" t="s">
        <v>48</v>
      </c>
      <c r="X43" s="28"/>
    </row>
    <row r="44" spans="1:24" s="1" customFormat="1" ht="13.5" customHeight="1">
      <c r="A44" s="29" t="s">
        <v>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101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24</v>
      </c>
      <c r="M46" s="13"/>
      <c r="N46" s="13" t="s">
        <v>102</v>
      </c>
      <c r="O46" s="13"/>
      <c r="P46" s="14" t="s">
        <v>26</v>
      </c>
      <c r="Q46" s="14"/>
      <c r="R46" s="14"/>
      <c r="S46" s="14" t="s">
        <v>27</v>
      </c>
      <c r="T46" s="14"/>
      <c r="U46" s="14"/>
      <c r="V46" s="14"/>
      <c r="W46" s="15" t="s">
        <v>28</v>
      </c>
      <c r="X46" s="15"/>
    </row>
    <row r="47" spans="1:24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30</v>
      </c>
      <c r="M47" s="16"/>
      <c r="N47" s="16" t="s">
        <v>31</v>
      </c>
      <c r="O47" s="16"/>
      <c r="P47" s="17" t="s">
        <v>32</v>
      </c>
      <c r="Q47" s="17"/>
      <c r="R47" s="17"/>
      <c r="S47" s="17" t="s">
        <v>33</v>
      </c>
      <c r="T47" s="17"/>
      <c r="U47" s="17"/>
      <c r="V47" s="17"/>
      <c r="W47" s="18" t="s">
        <v>34</v>
      </c>
      <c r="X47" s="18"/>
    </row>
    <row r="48" spans="1:24" s="1" customFormat="1" ht="13.5" customHeight="1">
      <c r="A48" s="19" t="s">
        <v>103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104</v>
      </c>
      <c r="M48" s="20"/>
      <c r="N48" s="20" t="s">
        <v>37</v>
      </c>
      <c r="O48" s="20"/>
      <c r="P48" s="21">
        <f>135592792.83</f>
        <v>135592792.83</v>
      </c>
      <c r="Q48" s="21"/>
      <c r="R48" s="21"/>
      <c r="S48" s="21">
        <f>76437739.76</f>
        <v>76437739.76</v>
      </c>
      <c r="T48" s="21"/>
      <c r="U48" s="21"/>
      <c r="V48" s="21"/>
      <c r="W48" s="22">
        <f>59155053.07</f>
        <v>59155053.07</v>
      </c>
      <c r="X48" s="22"/>
    </row>
    <row r="49" spans="1:24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104</v>
      </c>
      <c r="M49" s="31"/>
      <c r="N49" s="31" t="s">
        <v>106</v>
      </c>
      <c r="O49" s="31"/>
      <c r="P49" s="32">
        <f>992600</f>
        <v>992600</v>
      </c>
      <c r="Q49" s="32"/>
      <c r="R49" s="32"/>
      <c r="S49" s="32">
        <f>712481</f>
        <v>712481</v>
      </c>
      <c r="T49" s="32"/>
      <c r="U49" s="32"/>
      <c r="V49" s="32"/>
      <c r="W49" s="33">
        <f>280119</f>
        <v>280119</v>
      </c>
      <c r="X49" s="33"/>
    </row>
    <row r="50" spans="1:24" s="1" customFormat="1" ht="33.7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104</v>
      </c>
      <c r="M50" s="31"/>
      <c r="N50" s="31" t="s">
        <v>108</v>
      </c>
      <c r="O50" s="31"/>
      <c r="P50" s="32">
        <f>299800</f>
        <v>299800</v>
      </c>
      <c r="Q50" s="32"/>
      <c r="R50" s="32"/>
      <c r="S50" s="32">
        <f>174700.96</f>
        <v>174700.96</v>
      </c>
      <c r="T50" s="32"/>
      <c r="U50" s="32"/>
      <c r="V50" s="32"/>
      <c r="W50" s="33">
        <f>125099.04</f>
        <v>125099.04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104</v>
      </c>
      <c r="M51" s="31"/>
      <c r="N51" s="31" t="s">
        <v>109</v>
      </c>
      <c r="O51" s="31"/>
      <c r="P51" s="32">
        <f>6262400</f>
        <v>6262400</v>
      </c>
      <c r="Q51" s="32"/>
      <c r="R51" s="32"/>
      <c r="S51" s="32">
        <f>4130290.53</f>
        <v>4130290.53</v>
      </c>
      <c r="T51" s="32"/>
      <c r="U51" s="32"/>
      <c r="V51" s="32"/>
      <c r="W51" s="33">
        <f>2132109.47</f>
        <v>2132109.47</v>
      </c>
      <c r="X51" s="33"/>
    </row>
    <row r="52" spans="1:24" s="1" customFormat="1" ht="33.7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104</v>
      </c>
      <c r="M52" s="31"/>
      <c r="N52" s="31" t="s">
        <v>110</v>
      </c>
      <c r="O52" s="31"/>
      <c r="P52" s="32">
        <f>1891300</f>
        <v>1891300</v>
      </c>
      <c r="Q52" s="32"/>
      <c r="R52" s="32"/>
      <c r="S52" s="32">
        <f>1142993.93</f>
        <v>1142993.93</v>
      </c>
      <c r="T52" s="32"/>
      <c r="U52" s="32"/>
      <c r="V52" s="32"/>
      <c r="W52" s="33">
        <f>748306.07</f>
        <v>748306.07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104</v>
      </c>
      <c r="M53" s="31"/>
      <c r="N53" s="31" t="s">
        <v>112</v>
      </c>
      <c r="O53" s="31"/>
      <c r="P53" s="32">
        <f>94400</f>
        <v>94400</v>
      </c>
      <c r="Q53" s="32"/>
      <c r="R53" s="32"/>
      <c r="S53" s="32">
        <f>83480.45</f>
        <v>83480.45</v>
      </c>
      <c r="T53" s="32"/>
      <c r="U53" s="32"/>
      <c r="V53" s="32"/>
      <c r="W53" s="33">
        <f>10919.55</f>
        <v>10919.55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104</v>
      </c>
      <c r="M54" s="31"/>
      <c r="N54" s="31" t="s">
        <v>114</v>
      </c>
      <c r="O54" s="31"/>
      <c r="P54" s="32">
        <f>4500</f>
        <v>4500</v>
      </c>
      <c r="Q54" s="32"/>
      <c r="R54" s="32"/>
      <c r="S54" s="32">
        <f>3250</f>
        <v>3250</v>
      </c>
      <c r="T54" s="32"/>
      <c r="U54" s="32"/>
      <c r="V54" s="32"/>
      <c r="W54" s="33">
        <f>1250</f>
        <v>1250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104</v>
      </c>
      <c r="M55" s="31"/>
      <c r="N55" s="31" t="s">
        <v>116</v>
      </c>
      <c r="O55" s="31"/>
      <c r="P55" s="32">
        <f>17000</f>
        <v>17000</v>
      </c>
      <c r="Q55" s="32"/>
      <c r="R55" s="32"/>
      <c r="S55" s="32">
        <f>13284</f>
        <v>13284</v>
      </c>
      <c r="T55" s="32"/>
      <c r="U55" s="32"/>
      <c r="V55" s="32"/>
      <c r="W55" s="33">
        <f>3716</f>
        <v>3716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104</v>
      </c>
      <c r="M56" s="31"/>
      <c r="N56" s="31" t="s">
        <v>117</v>
      </c>
      <c r="O56" s="31"/>
      <c r="P56" s="32">
        <f>7600</f>
        <v>7600</v>
      </c>
      <c r="Q56" s="32"/>
      <c r="R56" s="32"/>
      <c r="S56" s="32">
        <f>7600</f>
        <v>7600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104</v>
      </c>
      <c r="M57" s="31"/>
      <c r="N57" s="31" t="s">
        <v>119</v>
      </c>
      <c r="O57" s="31"/>
      <c r="P57" s="32">
        <f>384900</f>
        <v>384900</v>
      </c>
      <c r="Q57" s="32"/>
      <c r="R57" s="32"/>
      <c r="S57" s="32">
        <f>384900</f>
        <v>384900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104</v>
      </c>
      <c r="M58" s="31"/>
      <c r="N58" s="31" t="s">
        <v>121</v>
      </c>
      <c r="O58" s="31"/>
      <c r="P58" s="32">
        <f>40000</f>
        <v>40000</v>
      </c>
      <c r="Q58" s="32"/>
      <c r="R58" s="32"/>
      <c r="S58" s="34" t="s">
        <v>48</v>
      </c>
      <c r="T58" s="34"/>
      <c r="U58" s="34"/>
      <c r="V58" s="34"/>
      <c r="W58" s="33">
        <f>40000</f>
        <v>40000</v>
      </c>
      <c r="X58" s="33"/>
    </row>
    <row r="59" spans="1:24" s="1" customFormat="1" ht="13.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104</v>
      </c>
      <c r="M59" s="31"/>
      <c r="N59" s="31" t="s">
        <v>122</v>
      </c>
      <c r="O59" s="31"/>
      <c r="P59" s="32">
        <f>169300</f>
        <v>169300</v>
      </c>
      <c r="Q59" s="32"/>
      <c r="R59" s="32"/>
      <c r="S59" s="34" t="s">
        <v>48</v>
      </c>
      <c r="T59" s="34"/>
      <c r="U59" s="34"/>
      <c r="V59" s="34"/>
      <c r="W59" s="33">
        <f>169300</f>
        <v>169300</v>
      </c>
      <c r="X59" s="33"/>
    </row>
    <row r="60" spans="1:24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104</v>
      </c>
      <c r="M60" s="31"/>
      <c r="N60" s="31" t="s">
        <v>124</v>
      </c>
      <c r="O60" s="31"/>
      <c r="P60" s="32">
        <f>6201100</f>
        <v>6201100</v>
      </c>
      <c r="Q60" s="32"/>
      <c r="R60" s="32"/>
      <c r="S60" s="32">
        <f>3756148.2</f>
        <v>3756148.2</v>
      </c>
      <c r="T60" s="32"/>
      <c r="U60" s="32"/>
      <c r="V60" s="32"/>
      <c r="W60" s="33">
        <f>2444951.8</f>
        <v>2444951.8</v>
      </c>
      <c r="X60" s="33"/>
    </row>
    <row r="61" spans="1:24" s="1" customFormat="1" ht="24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104</v>
      </c>
      <c r="M61" s="31"/>
      <c r="N61" s="31" t="s">
        <v>126</v>
      </c>
      <c r="O61" s="31"/>
      <c r="P61" s="32">
        <f>1872700</f>
        <v>1872700</v>
      </c>
      <c r="Q61" s="32"/>
      <c r="R61" s="32"/>
      <c r="S61" s="32">
        <f>960289.33</f>
        <v>960289.33</v>
      </c>
      <c r="T61" s="32"/>
      <c r="U61" s="32"/>
      <c r="V61" s="32"/>
      <c r="W61" s="33">
        <f>912410.67</f>
        <v>912410.67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104</v>
      </c>
      <c r="M62" s="31"/>
      <c r="N62" s="31" t="s">
        <v>127</v>
      </c>
      <c r="O62" s="31"/>
      <c r="P62" s="32">
        <f>2491000</f>
        <v>2491000</v>
      </c>
      <c r="Q62" s="32"/>
      <c r="R62" s="32"/>
      <c r="S62" s="32">
        <f>2003916.54</f>
        <v>2003916.54</v>
      </c>
      <c r="T62" s="32"/>
      <c r="U62" s="32"/>
      <c r="V62" s="32"/>
      <c r="W62" s="33">
        <f>487083.46</f>
        <v>487083.46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104</v>
      </c>
      <c r="M63" s="31"/>
      <c r="N63" s="31" t="s">
        <v>129</v>
      </c>
      <c r="O63" s="31"/>
      <c r="P63" s="32">
        <f>1200000</f>
        <v>1200000</v>
      </c>
      <c r="Q63" s="32"/>
      <c r="R63" s="32"/>
      <c r="S63" s="32">
        <f>535918.54</f>
        <v>535918.54</v>
      </c>
      <c r="T63" s="32"/>
      <c r="U63" s="32"/>
      <c r="V63" s="32"/>
      <c r="W63" s="33">
        <f>664081.46</f>
        <v>664081.46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104</v>
      </c>
      <c r="M64" s="31"/>
      <c r="N64" s="31" t="s">
        <v>130</v>
      </c>
      <c r="O64" s="31"/>
      <c r="P64" s="32">
        <f>8500</f>
        <v>8500</v>
      </c>
      <c r="Q64" s="32"/>
      <c r="R64" s="32"/>
      <c r="S64" s="32">
        <f>3951</f>
        <v>3951</v>
      </c>
      <c r="T64" s="32"/>
      <c r="U64" s="32"/>
      <c r="V64" s="32"/>
      <c r="W64" s="33">
        <f>4549</f>
        <v>4549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104</v>
      </c>
      <c r="M65" s="31"/>
      <c r="N65" s="31" t="s">
        <v>131</v>
      </c>
      <c r="O65" s="31"/>
      <c r="P65" s="32">
        <f>12500</f>
        <v>12500</v>
      </c>
      <c r="Q65" s="32"/>
      <c r="R65" s="32"/>
      <c r="S65" s="32">
        <f>0.17</f>
        <v>0.17</v>
      </c>
      <c r="T65" s="32"/>
      <c r="U65" s="32"/>
      <c r="V65" s="32"/>
      <c r="W65" s="33">
        <f>12499.83</f>
        <v>12499.83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104</v>
      </c>
      <c r="M66" s="31"/>
      <c r="N66" s="31" t="s">
        <v>132</v>
      </c>
      <c r="O66" s="31"/>
      <c r="P66" s="32">
        <f>220000</f>
        <v>220000</v>
      </c>
      <c r="Q66" s="32"/>
      <c r="R66" s="32"/>
      <c r="S66" s="34" t="s">
        <v>48</v>
      </c>
      <c r="T66" s="34"/>
      <c r="U66" s="34"/>
      <c r="V66" s="34"/>
      <c r="W66" s="33">
        <f>220000</f>
        <v>220000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104</v>
      </c>
      <c r="M67" s="31"/>
      <c r="N67" s="31" t="s">
        <v>133</v>
      </c>
      <c r="O67" s="31"/>
      <c r="P67" s="32">
        <f>27000</f>
        <v>27000</v>
      </c>
      <c r="Q67" s="32"/>
      <c r="R67" s="32"/>
      <c r="S67" s="32">
        <f>8893</f>
        <v>8893</v>
      </c>
      <c r="T67" s="32"/>
      <c r="U67" s="32"/>
      <c r="V67" s="32"/>
      <c r="W67" s="33">
        <f>18107</f>
        <v>18107</v>
      </c>
      <c r="X67" s="33"/>
    </row>
    <row r="68" spans="1:24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104</v>
      </c>
      <c r="M68" s="31"/>
      <c r="N68" s="31" t="s">
        <v>134</v>
      </c>
      <c r="O68" s="31"/>
      <c r="P68" s="32">
        <f>53000</f>
        <v>53000</v>
      </c>
      <c r="Q68" s="32"/>
      <c r="R68" s="32"/>
      <c r="S68" s="32">
        <f>50000</f>
        <v>50000</v>
      </c>
      <c r="T68" s="32"/>
      <c r="U68" s="32"/>
      <c r="V68" s="32"/>
      <c r="W68" s="33">
        <f>3000</f>
        <v>3000</v>
      </c>
      <c r="X68" s="33"/>
    </row>
    <row r="69" spans="1:24" s="1" customFormat="1" ht="13.5" customHeight="1">
      <c r="A69" s="30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104</v>
      </c>
      <c r="M69" s="31"/>
      <c r="N69" s="31" t="s">
        <v>135</v>
      </c>
      <c r="O69" s="31"/>
      <c r="P69" s="32">
        <f>455529.95</f>
        <v>455529.95</v>
      </c>
      <c r="Q69" s="32"/>
      <c r="R69" s="32"/>
      <c r="S69" s="32">
        <f>242598</f>
        <v>242598</v>
      </c>
      <c r="T69" s="32"/>
      <c r="U69" s="32"/>
      <c r="V69" s="32"/>
      <c r="W69" s="33">
        <f>212931.95</f>
        <v>212931.95</v>
      </c>
      <c r="X69" s="33"/>
    </row>
    <row r="70" spans="1:24" s="1" customFormat="1" ht="33.7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104</v>
      </c>
      <c r="M70" s="31"/>
      <c r="N70" s="31" t="s">
        <v>136</v>
      </c>
      <c r="O70" s="31"/>
      <c r="P70" s="32">
        <f>137570.05</f>
        <v>137570.05</v>
      </c>
      <c r="Q70" s="32"/>
      <c r="R70" s="32"/>
      <c r="S70" s="32">
        <f>71876</f>
        <v>71876</v>
      </c>
      <c r="T70" s="32"/>
      <c r="U70" s="32"/>
      <c r="V70" s="32"/>
      <c r="W70" s="33">
        <f>65694.05</f>
        <v>65694.05</v>
      </c>
      <c r="X70" s="33"/>
    </row>
    <row r="71" spans="1:24" s="1" customFormat="1" ht="13.5" customHeight="1">
      <c r="A71" s="30" t="s">
        <v>111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104</v>
      </c>
      <c r="M71" s="31"/>
      <c r="N71" s="31" t="s">
        <v>137</v>
      </c>
      <c r="O71" s="31"/>
      <c r="P71" s="32">
        <f>30000</f>
        <v>30000</v>
      </c>
      <c r="Q71" s="32"/>
      <c r="R71" s="32"/>
      <c r="S71" s="34" t="s">
        <v>48</v>
      </c>
      <c r="T71" s="34"/>
      <c r="U71" s="34"/>
      <c r="V71" s="34"/>
      <c r="W71" s="33">
        <f>30000</f>
        <v>30000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104</v>
      </c>
      <c r="M72" s="31"/>
      <c r="N72" s="31" t="s">
        <v>138</v>
      </c>
      <c r="O72" s="31"/>
      <c r="P72" s="32">
        <f>120000</f>
        <v>120000</v>
      </c>
      <c r="Q72" s="32"/>
      <c r="R72" s="32"/>
      <c r="S72" s="34" t="s">
        <v>48</v>
      </c>
      <c r="T72" s="34"/>
      <c r="U72" s="34"/>
      <c r="V72" s="34"/>
      <c r="W72" s="33">
        <f>120000</f>
        <v>120000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104</v>
      </c>
      <c r="M73" s="31"/>
      <c r="N73" s="31" t="s">
        <v>139</v>
      </c>
      <c r="O73" s="31"/>
      <c r="P73" s="32">
        <f>50000</f>
        <v>50000</v>
      </c>
      <c r="Q73" s="32"/>
      <c r="R73" s="32"/>
      <c r="S73" s="34" t="s">
        <v>48</v>
      </c>
      <c r="T73" s="34"/>
      <c r="U73" s="34"/>
      <c r="V73" s="34"/>
      <c r="W73" s="33">
        <f>50000</f>
        <v>50000</v>
      </c>
      <c r="X73" s="33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104</v>
      </c>
      <c r="M74" s="31"/>
      <c r="N74" s="31" t="s">
        <v>140</v>
      </c>
      <c r="O74" s="31"/>
      <c r="P74" s="32">
        <f>2000</f>
        <v>2000</v>
      </c>
      <c r="Q74" s="32"/>
      <c r="R74" s="32"/>
      <c r="S74" s="34" t="s">
        <v>48</v>
      </c>
      <c r="T74" s="34"/>
      <c r="U74" s="34"/>
      <c r="V74" s="34"/>
      <c r="W74" s="33">
        <f>2000</f>
        <v>2000</v>
      </c>
      <c r="X74" s="33"/>
    </row>
    <row r="75" spans="1:24" s="1" customFormat="1" ht="13.5" customHeight="1">
      <c r="A75" s="30" t="s">
        <v>120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104</v>
      </c>
      <c r="M75" s="31"/>
      <c r="N75" s="31" t="s">
        <v>141</v>
      </c>
      <c r="O75" s="31"/>
      <c r="P75" s="32">
        <f>20000</f>
        <v>20000</v>
      </c>
      <c r="Q75" s="32"/>
      <c r="R75" s="32"/>
      <c r="S75" s="34" t="s">
        <v>48</v>
      </c>
      <c r="T75" s="34"/>
      <c r="U75" s="34"/>
      <c r="V75" s="34"/>
      <c r="W75" s="33">
        <f>20000</f>
        <v>20000</v>
      </c>
      <c r="X75" s="33"/>
    </row>
    <row r="76" spans="1:24" s="1" customFormat="1" ht="13.5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104</v>
      </c>
      <c r="M76" s="31"/>
      <c r="N76" s="31" t="s">
        <v>143</v>
      </c>
      <c r="O76" s="31"/>
      <c r="P76" s="32">
        <f>60000</f>
        <v>60000</v>
      </c>
      <c r="Q76" s="32"/>
      <c r="R76" s="32"/>
      <c r="S76" s="32">
        <f>60000</f>
        <v>60000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104</v>
      </c>
      <c r="M77" s="31"/>
      <c r="N77" s="31" t="s">
        <v>144</v>
      </c>
      <c r="O77" s="31"/>
      <c r="P77" s="32">
        <f>3069800</f>
        <v>3069800</v>
      </c>
      <c r="Q77" s="32"/>
      <c r="R77" s="32"/>
      <c r="S77" s="32">
        <f>1890129.13</f>
        <v>1890129.13</v>
      </c>
      <c r="T77" s="32"/>
      <c r="U77" s="32"/>
      <c r="V77" s="32"/>
      <c r="W77" s="33">
        <f>1179670.87</f>
        <v>1179670.87</v>
      </c>
      <c r="X77" s="33"/>
    </row>
    <row r="78" spans="1:24" s="1" customFormat="1" ht="24" customHeight="1">
      <c r="A78" s="30" t="s">
        <v>145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104</v>
      </c>
      <c r="M78" s="31"/>
      <c r="N78" s="31" t="s">
        <v>146</v>
      </c>
      <c r="O78" s="31"/>
      <c r="P78" s="32">
        <f>3414300</f>
        <v>3414300</v>
      </c>
      <c r="Q78" s="32"/>
      <c r="R78" s="32"/>
      <c r="S78" s="32">
        <f>3414200.4</f>
        <v>3414200.4</v>
      </c>
      <c r="T78" s="32"/>
      <c r="U78" s="32"/>
      <c r="V78" s="32"/>
      <c r="W78" s="33">
        <f>99.6</f>
        <v>99.6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104</v>
      </c>
      <c r="M79" s="31"/>
      <c r="N79" s="31" t="s">
        <v>147</v>
      </c>
      <c r="O79" s="31"/>
      <c r="P79" s="32">
        <f>804400</f>
        <v>804400</v>
      </c>
      <c r="Q79" s="32"/>
      <c r="R79" s="32"/>
      <c r="S79" s="32">
        <f>231198.51</f>
        <v>231198.51</v>
      </c>
      <c r="T79" s="32"/>
      <c r="U79" s="32"/>
      <c r="V79" s="32"/>
      <c r="W79" s="33">
        <f>573201.49</f>
        <v>573201.49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104</v>
      </c>
      <c r="M80" s="31"/>
      <c r="N80" s="31" t="s">
        <v>148</v>
      </c>
      <c r="O80" s="31"/>
      <c r="P80" s="32">
        <f>1291800</f>
        <v>1291800</v>
      </c>
      <c r="Q80" s="32"/>
      <c r="R80" s="32"/>
      <c r="S80" s="32">
        <f>755788.48</f>
        <v>755788.48</v>
      </c>
      <c r="T80" s="32"/>
      <c r="U80" s="32"/>
      <c r="V80" s="32"/>
      <c r="W80" s="33">
        <f>536011.52</f>
        <v>536011.52</v>
      </c>
      <c r="X80" s="33"/>
    </row>
    <row r="81" spans="1:24" s="1" customFormat="1" ht="13.5" customHeight="1">
      <c r="A81" s="30" t="s">
        <v>115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104</v>
      </c>
      <c r="M81" s="31"/>
      <c r="N81" s="31" t="s">
        <v>149</v>
      </c>
      <c r="O81" s="31"/>
      <c r="P81" s="32">
        <f>50000</f>
        <v>50000</v>
      </c>
      <c r="Q81" s="32"/>
      <c r="R81" s="32"/>
      <c r="S81" s="32">
        <f>50000</f>
        <v>50000</v>
      </c>
      <c r="T81" s="32"/>
      <c r="U81" s="32"/>
      <c r="V81" s="32"/>
      <c r="W81" s="33">
        <f>0</f>
        <v>0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104</v>
      </c>
      <c r="M82" s="31"/>
      <c r="N82" s="31" t="s">
        <v>150</v>
      </c>
      <c r="O82" s="31"/>
      <c r="P82" s="32">
        <f>77000</f>
        <v>77000</v>
      </c>
      <c r="Q82" s="32"/>
      <c r="R82" s="32"/>
      <c r="S82" s="32">
        <f>77000</f>
        <v>77000</v>
      </c>
      <c r="T82" s="32"/>
      <c r="U82" s="32"/>
      <c r="V82" s="32"/>
      <c r="W82" s="33">
        <f>0</f>
        <v>0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104</v>
      </c>
      <c r="M83" s="31"/>
      <c r="N83" s="31" t="s">
        <v>151</v>
      </c>
      <c r="O83" s="31"/>
      <c r="P83" s="32">
        <f>910000</f>
        <v>910000</v>
      </c>
      <c r="Q83" s="32"/>
      <c r="R83" s="32"/>
      <c r="S83" s="32">
        <f>910000</f>
        <v>910000</v>
      </c>
      <c r="T83" s="32"/>
      <c r="U83" s="32"/>
      <c r="V83" s="32"/>
      <c r="W83" s="33">
        <f>0</f>
        <v>0</v>
      </c>
      <c r="X83" s="33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104</v>
      </c>
      <c r="M84" s="31"/>
      <c r="N84" s="31" t="s">
        <v>152</v>
      </c>
      <c r="O84" s="31"/>
      <c r="P84" s="32">
        <f>200000</f>
        <v>200000</v>
      </c>
      <c r="Q84" s="32"/>
      <c r="R84" s="32"/>
      <c r="S84" s="34" t="s">
        <v>48</v>
      </c>
      <c r="T84" s="34"/>
      <c r="U84" s="34"/>
      <c r="V84" s="34"/>
      <c r="W84" s="33">
        <f>200000</f>
        <v>200000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104</v>
      </c>
      <c r="M85" s="31"/>
      <c r="N85" s="31" t="s">
        <v>153</v>
      </c>
      <c r="O85" s="31"/>
      <c r="P85" s="32">
        <f>1700000</f>
        <v>1700000</v>
      </c>
      <c r="Q85" s="32"/>
      <c r="R85" s="32"/>
      <c r="S85" s="34" t="s">
        <v>48</v>
      </c>
      <c r="T85" s="34"/>
      <c r="U85" s="34"/>
      <c r="V85" s="34"/>
      <c r="W85" s="33">
        <f>1700000</f>
        <v>1700000</v>
      </c>
      <c r="X85" s="33"/>
    </row>
    <row r="86" spans="1:24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104</v>
      </c>
      <c r="M86" s="31"/>
      <c r="N86" s="31" t="s">
        <v>154</v>
      </c>
      <c r="O86" s="31"/>
      <c r="P86" s="32">
        <f>25000</f>
        <v>25000</v>
      </c>
      <c r="Q86" s="32"/>
      <c r="R86" s="32"/>
      <c r="S86" s="34" t="s">
        <v>48</v>
      </c>
      <c r="T86" s="34"/>
      <c r="U86" s="34"/>
      <c r="V86" s="34"/>
      <c r="W86" s="33">
        <f>25000</f>
        <v>25000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104</v>
      </c>
      <c r="M87" s="31"/>
      <c r="N87" s="31" t="s">
        <v>155</v>
      </c>
      <c r="O87" s="31"/>
      <c r="P87" s="32">
        <f>25000</f>
        <v>25000</v>
      </c>
      <c r="Q87" s="32"/>
      <c r="R87" s="32"/>
      <c r="S87" s="32">
        <f>17160</f>
        <v>17160</v>
      </c>
      <c r="T87" s="32"/>
      <c r="U87" s="32"/>
      <c r="V87" s="32"/>
      <c r="W87" s="33">
        <f>7840</f>
        <v>7840</v>
      </c>
      <c r="X87" s="33"/>
    </row>
    <row r="88" spans="1:24" s="1" customFormat="1" ht="13.5" customHeight="1">
      <c r="A88" s="30" t="s">
        <v>111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104</v>
      </c>
      <c r="M88" s="31"/>
      <c r="N88" s="31" t="s">
        <v>156</v>
      </c>
      <c r="O88" s="31"/>
      <c r="P88" s="32">
        <f>850000</f>
        <v>850000</v>
      </c>
      <c r="Q88" s="32"/>
      <c r="R88" s="32"/>
      <c r="S88" s="34" t="s">
        <v>48</v>
      </c>
      <c r="T88" s="34"/>
      <c r="U88" s="34"/>
      <c r="V88" s="34"/>
      <c r="W88" s="33">
        <f>850000</f>
        <v>850000</v>
      </c>
      <c r="X88" s="33"/>
    </row>
    <row r="89" spans="1:24" s="1" customFormat="1" ht="33.75" customHeight="1">
      <c r="A89" s="30" t="s">
        <v>157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104</v>
      </c>
      <c r="M89" s="31"/>
      <c r="N89" s="31" t="s">
        <v>158</v>
      </c>
      <c r="O89" s="31"/>
      <c r="P89" s="32">
        <f>600000</f>
        <v>600000</v>
      </c>
      <c r="Q89" s="32"/>
      <c r="R89" s="32"/>
      <c r="S89" s="32">
        <f>177000</f>
        <v>177000</v>
      </c>
      <c r="T89" s="32"/>
      <c r="U89" s="32"/>
      <c r="V89" s="32"/>
      <c r="W89" s="33">
        <f>423000</f>
        <v>423000</v>
      </c>
      <c r="X89" s="33"/>
    </row>
    <row r="90" spans="1:24" s="1" customFormat="1" ht="24" customHeight="1">
      <c r="A90" s="30" t="s">
        <v>145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104</v>
      </c>
      <c r="M90" s="31"/>
      <c r="N90" s="31" t="s">
        <v>159</v>
      </c>
      <c r="O90" s="31"/>
      <c r="P90" s="32">
        <f>3600000</f>
        <v>3600000</v>
      </c>
      <c r="Q90" s="32"/>
      <c r="R90" s="32"/>
      <c r="S90" s="32">
        <f>1504839.96</f>
        <v>1504839.96</v>
      </c>
      <c r="T90" s="32"/>
      <c r="U90" s="32"/>
      <c r="V90" s="32"/>
      <c r="W90" s="33">
        <f>2095160.04</f>
        <v>2095160.04</v>
      </c>
      <c r="X90" s="33"/>
    </row>
    <row r="91" spans="1:24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104</v>
      </c>
      <c r="M91" s="31"/>
      <c r="N91" s="31" t="s">
        <v>160</v>
      </c>
      <c r="O91" s="31"/>
      <c r="P91" s="32">
        <f>1148838.84</f>
        <v>1148838.84</v>
      </c>
      <c r="Q91" s="32"/>
      <c r="R91" s="32"/>
      <c r="S91" s="32">
        <f>934963.2</f>
        <v>934963.2</v>
      </c>
      <c r="T91" s="32"/>
      <c r="U91" s="32"/>
      <c r="V91" s="32"/>
      <c r="W91" s="33">
        <f>213875.64</f>
        <v>213875.64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104</v>
      </c>
      <c r="M92" s="31"/>
      <c r="N92" s="31" t="s">
        <v>161</v>
      </c>
      <c r="O92" s="31"/>
      <c r="P92" s="32">
        <f>140000</f>
        <v>140000</v>
      </c>
      <c r="Q92" s="32"/>
      <c r="R92" s="32"/>
      <c r="S92" s="32">
        <f>79294.23</f>
        <v>79294.23</v>
      </c>
      <c r="T92" s="32"/>
      <c r="U92" s="32"/>
      <c r="V92" s="32"/>
      <c r="W92" s="33">
        <f>60705.77</f>
        <v>60705.77</v>
      </c>
      <c r="X92" s="33"/>
    </row>
    <row r="93" spans="1:24" s="1" customFormat="1" ht="13.5" customHeight="1">
      <c r="A93" s="30" t="s">
        <v>111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104</v>
      </c>
      <c r="M93" s="31"/>
      <c r="N93" s="31" t="s">
        <v>162</v>
      </c>
      <c r="O93" s="31"/>
      <c r="P93" s="32">
        <f>800000</f>
        <v>800000</v>
      </c>
      <c r="Q93" s="32"/>
      <c r="R93" s="32"/>
      <c r="S93" s="32">
        <f>260229.36</f>
        <v>260229.36</v>
      </c>
      <c r="T93" s="32"/>
      <c r="U93" s="32"/>
      <c r="V93" s="32"/>
      <c r="W93" s="33">
        <f>539770.64</f>
        <v>539770.64</v>
      </c>
      <c r="X93" s="33"/>
    </row>
    <row r="94" spans="1:24" s="1" customFormat="1" ht="13.5" customHeight="1">
      <c r="A94" s="30" t="s">
        <v>128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104</v>
      </c>
      <c r="M94" s="31"/>
      <c r="N94" s="31" t="s">
        <v>163</v>
      </c>
      <c r="O94" s="31"/>
      <c r="P94" s="32">
        <f>1800000</f>
        <v>1800000</v>
      </c>
      <c r="Q94" s="32"/>
      <c r="R94" s="32"/>
      <c r="S94" s="32">
        <f>1092794.49</f>
        <v>1092794.49</v>
      </c>
      <c r="T94" s="32"/>
      <c r="U94" s="32"/>
      <c r="V94" s="32"/>
      <c r="W94" s="33">
        <f>707205.51</f>
        <v>707205.51</v>
      </c>
      <c r="X94" s="33"/>
    </row>
    <row r="95" spans="1:24" s="1" customFormat="1" ht="13.5" customHeight="1">
      <c r="A95" s="30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104</v>
      </c>
      <c r="M95" s="31"/>
      <c r="N95" s="31" t="s">
        <v>164</v>
      </c>
      <c r="O95" s="31"/>
      <c r="P95" s="32">
        <f>800000</f>
        <v>800000</v>
      </c>
      <c r="Q95" s="32"/>
      <c r="R95" s="32"/>
      <c r="S95" s="32">
        <f>472158.33</f>
        <v>472158.33</v>
      </c>
      <c r="T95" s="32"/>
      <c r="U95" s="32"/>
      <c r="V95" s="32"/>
      <c r="W95" s="33">
        <f>327841.67</f>
        <v>327841.67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104</v>
      </c>
      <c r="M96" s="31"/>
      <c r="N96" s="31" t="s">
        <v>165</v>
      </c>
      <c r="O96" s="31"/>
      <c r="P96" s="32">
        <f>10000</f>
        <v>10000</v>
      </c>
      <c r="Q96" s="32"/>
      <c r="R96" s="32"/>
      <c r="S96" s="34" t="s">
        <v>48</v>
      </c>
      <c r="T96" s="34"/>
      <c r="U96" s="34"/>
      <c r="V96" s="34"/>
      <c r="W96" s="33">
        <f>10000</f>
        <v>10000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104</v>
      </c>
      <c r="M97" s="31"/>
      <c r="N97" s="31" t="s">
        <v>166</v>
      </c>
      <c r="O97" s="31"/>
      <c r="P97" s="32">
        <f>150000</f>
        <v>150000</v>
      </c>
      <c r="Q97" s="32"/>
      <c r="R97" s="32"/>
      <c r="S97" s="32">
        <f>82215</f>
        <v>82215</v>
      </c>
      <c r="T97" s="32"/>
      <c r="U97" s="32"/>
      <c r="V97" s="32"/>
      <c r="W97" s="33">
        <f>67785</f>
        <v>67785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104</v>
      </c>
      <c r="M98" s="31"/>
      <c r="N98" s="31" t="s">
        <v>167</v>
      </c>
      <c r="O98" s="31"/>
      <c r="P98" s="32">
        <f>798070</f>
        <v>798070</v>
      </c>
      <c r="Q98" s="32"/>
      <c r="R98" s="32"/>
      <c r="S98" s="32">
        <f>659414</f>
        <v>659414</v>
      </c>
      <c r="T98" s="32"/>
      <c r="U98" s="32"/>
      <c r="V98" s="32"/>
      <c r="W98" s="33">
        <f>138656</f>
        <v>138656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104</v>
      </c>
      <c r="M99" s="31"/>
      <c r="N99" s="31" t="s">
        <v>168</v>
      </c>
      <c r="O99" s="31"/>
      <c r="P99" s="32">
        <f>1500570</f>
        <v>1500570</v>
      </c>
      <c r="Q99" s="32"/>
      <c r="R99" s="32"/>
      <c r="S99" s="32">
        <f>1290080</f>
        <v>1290080</v>
      </c>
      <c r="T99" s="32"/>
      <c r="U99" s="32"/>
      <c r="V99" s="32"/>
      <c r="W99" s="33">
        <f>210490</f>
        <v>210490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104</v>
      </c>
      <c r="M100" s="31"/>
      <c r="N100" s="31" t="s">
        <v>169</v>
      </c>
      <c r="O100" s="31"/>
      <c r="P100" s="32">
        <f>400000</f>
        <v>400000</v>
      </c>
      <c r="Q100" s="32"/>
      <c r="R100" s="32"/>
      <c r="S100" s="32">
        <f>142950</f>
        <v>142950</v>
      </c>
      <c r="T100" s="32"/>
      <c r="U100" s="32"/>
      <c r="V100" s="32"/>
      <c r="W100" s="33">
        <f>257050</f>
        <v>257050</v>
      </c>
      <c r="X100" s="33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104</v>
      </c>
      <c r="M101" s="31"/>
      <c r="N101" s="31" t="s">
        <v>170</v>
      </c>
      <c r="O101" s="31"/>
      <c r="P101" s="32">
        <f>600000</f>
        <v>600000</v>
      </c>
      <c r="Q101" s="32"/>
      <c r="R101" s="32"/>
      <c r="S101" s="32">
        <f>418845.15</f>
        <v>418845.15</v>
      </c>
      <c r="T101" s="32"/>
      <c r="U101" s="32"/>
      <c r="V101" s="32"/>
      <c r="W101" s="33">
        <f>181154.85</f>
        <v>181154.85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104</v>
      </c>
      <c r="M102" s="31"/>
      <c r="N102" s="31" t="s">
        <v>171</v>
      </c>
      <c r="O102" s="31"/>
      <c r="P102" s="32">
        <f>4279898.99</f>
        <v>4279898.99</v>
      </c>
      <c r="Q102" s="32"/>
      <c r="R102" s="32"/>
      <c r="S102" s="32">
        <f>4053616.96</f>
        <v>4053616.96</v>
      </c>
      <c r="T102" s="32"/>
      <c r="U102" s="32"/>
      <c r="V102" s="32"/>
      <c r="W102" s="33">
        <f>226282.03</f>
        <v>226282.03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104</v>
      </c>
      <c r="M103" s="31"/>
      <c r="N103" s="31" t="s">
        <v>172</v>
      </c>
      <c r="O103" s="31"/>
      <c r="P103" s="32">
        <f>892000</f>
        <v>892000</v>
      </c>
      <c r="Q103" s="32"/>
      <c r="R103" s="32"/>
      <c r="S103" s="32">
        <f>31546.4</f>
        <v>31546.4</v>
      </c>
      <c r="T103" s="32"/>
      <c r="U103" s="32"/>
      <c r="V103" s="32"/>
      <c r="W103" s="33">
        <f>860453.6</f>
        <v>860453.6</v>
      </c>
      <c r="X103" s="33"/>
    </row>
    <row r="104" spans="1:24" s="1" customFormat="1" ht="33.75" customHeight="1">
      <c r="A104" s="30" t="s">
        <v>173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104</v>
      </c>
      <c r="M104" s="31"/>
      <c r="N104" s="31" t="s">
        <v>174</v>
      </c>
      <c r="O104" s="31"/>
      <c r="P104" s="32">
        <f>14755000</f>
        <v>14755000</v>
      </c>
      <c r="Q104" s="32"/>
      <c r="R104" s="32"/>
      <c r="S104" s="32">
        <f>9627000</f>
        <v>9627000</v>
      </c>
      <c r="T104" s="32"/>
      <c r="U104" s="32"/>
      <c r="V104" s="32"/>
      <c r="W104" s="33">
        <f>5128000</f>
        <v>5128000</v>
      </c>
      <c r="X104" s="33"/>
    </row>
    <row r="105" spans="1:24" s="1" customFormat="1" ht="33.75" customHeight="1">
      <c r="A105" s="30" t="s">
        <v>173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104</v>
      </c>
      <c r="M105" s="31"/>
      <c r="N105" s="31" t="s">
        <v>175</v>
      </c>
      <c r="O105" s="31"/>
      <c r="P105" s="32">
        <f>45000</f>
        <v>45000</v>
      </c>
      <c r="Q105" s="32"/>
      <c r="R105" s="32"/>
      <c r="S105" s="34" t="s">
        <v>48</v>
      </c>
      <c r="T105" s="34"/>
      <c r="U105" s="34"/>
      <c r="V105" s="34"/>
      <c r="W105" s="33">
        <f>45000</f>
        <v>45000</v>
      </c>
      <c r="X105" s="33"/>
    </row>
    <row r="106" spans="1:24" s="1" customFormat="1" ht="13.5" customHeight="1">
      <c r="A106" s="30" t="s">
        <v>111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104</v>
      </c>
      <c r="M106" s="31"/>
      <c r="N106" s="31" t="s">
        <v>176</v>
      </c>
      <c r="O106" s="31"/>
      <c r="P106" s="32">
        <f>480000</f>
        <v>480000</v>
      </c>
      <c r="Q106" s="32"/>
      <c r="R106" s="32"/>
      <c r="S106" s="32">
        <f>199200</f>
        <v>199200</v>
      </c>
      <c r="T106" s="32"/>
      <c r="U106" s="32"/>
      <c r="V106" s="32"/>
      <c r="W106" s="33">
        <f>280800</f>
        <v>280800</v>
      </c>
      <c r="X106" s="33"/>
    </row>
    <row r="107" spans="1:24" s="1" customFormat="1" ht="13.5" customHeight="1">
      <c r="A107" s="30" t="s">
        <v>177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104</v>
      </c>
      <c r="M107" s="31"/>
      <c r="N107" s="31" t="s">
        <v>178</v>
      </c>
      <c r="O107" s="31"/>
      <c r="P107" s="32">
        <f>701200</f>
        <v>701200</v>
      </c>
      <c r="Q107" s="32"/>
      <c r="R107" s="32"/>
      <c r="S107" s="32">
        <f>490840</f>
        <v>490840</v>
      </c>
      <c r="T107" s="32"/>
      <c r="U107" s="32"/>
      <c r="V107" s="32"/>
      <c r="W107" s="33">
        <f>210360</f>
        <v>210360</v>
      </c>
      <c r="X107" s="33"/>
    </row>
    <row r="108" spans="1:24" s="1" customFormat="1" ht="33.7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104</v>
      </c>
      <c r="M108" s="31"/>
      <c r="N108" s="31" t="s">
        <v>179</v>
      </c>
      <c r="O108" s="31"/>
      <c r="P108" s="32">
        <f>2450000</f>
        <v>2450000</v>
      </c>
      <c r="Q108" s="32"/>
      <c r="R108" s="32"/>
      <c r="S108" s="32">
        <f>1619900</f>
        <v>1619900</v>
      </c>
      <c r="T108" s="32"/>
      <c r="U108" s="32"/>
      <c r="V108" s="32"/>
      <c r="W108" s="33">
        <f>830100</f>
        <v>830100</v>
      </c>
      <c r="X108" s="33"/>
    </row>
    <row r="109" spans="1:24" s="1" customFormat="1" ht="24" customHeight="1">
      <c r="A109" s="30" t="s">
        <v>180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104</v>
      </c>
      <c r="M109" s="31"/>
      <c r="N109" s="31" t="s">
        <v>181</v>
      </c>
      <c r="O109" s="31"/>
      <c r="P109" s="32">
        <f>117500</f>
        <v>117500</v>
      </c>
      <c r="Q109" s="32"/>
      <c r="R109" s="32"/>
      <c r="S109" s="32">
        <f>117434.3</f>
        <v>117434.3</v>
      </c>
      <c r="T109" s="32"/>
      <c r="U109" s="32"/>
      <c r="V109" s="32"/>
      <c r="W109" s="33">
        <f>65.7</f>
        <v>65.7</v>
      </c>
      <c r="X109" s="33"/>
    </row>
    <row r="110" spans="1:24" s="1" customFormat="1" ht="24" customHeight="1">
      <c r="A110" s="30" t="s">
        <v>180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104</v>
      </c>
      <c r="M110" s="31"/>
      <c r="N110" s="31" t="s">
        <v>182</v>
      </c>
      <c r="O110" s="31"/>
      <c r="P110" s="32">
        <f>61751300</f>
        <v>61751300</v>
      </c>
      <c r="Q110" s="32"/>
      <c r="R110" s="32"/>
      <c r="S110" s="32">
        <f>30819728.22</f>
        <v>30819728.22</v>
      </c>
      <c r="T110" s="32"/>
      <c r="U110" s="32"/>
      <c r="V110" s="32"/>
      <c r="W110" s="33">
        <f>30931571.78</f>
        <v>30931571.78</v>
      </c>
      <c r="X110" s="33"/>
    </row>
    <row r="111" spans="1:24" s="1" customFormat="1" ht="24" customHeight="1">
      <c r="A111" s="30" t="s">
        <v>180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104</v>
      </c>
      <c r="M111" s="31"/>
      <c r="N111" s="31" t="s">
        <v>183</v>
      </c>
      <c r="O111" s="31"/>
      <c r="P111" s="32">
        <f>69000</f>
        <v>69000</v>
      </c>
      <c r="Q111" s="32"/>
      <c r="R111" s="32"/>
      <c r="S111" s="34" t="s">
        <v>48</v>
      </c>
      <c r="T111" s="34"/>
      <c r="U111" s="34"/>
      <c r="V111" s="34"/>
      <c r="W111" s="33">
        <f>69000</f>
        <v>69000</v>
      </c>
      <c r="X111" s="33"/>
    </row>
    <row r="112" spans="1:24" s="1" customFormat="1" ht="24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104</v>
      </c>
      <c r="M112" s="31"/>
      <c r="N112" s="31" t="s">
        <v>184</v>
      </c>
      <c r="O112" s="31"/>
      <c r="P112" s="32">
        <f>10000</f>
        <v>10000</v>
      </c>
      <c r="Q112" s="32"/>
      <c r="R112" s="32"/>
      <c r="S112" s="34" t="s">
        <v>48</v>
      </c>
      <c r="T112" s="34"/>
      <c r="U112" s="34"/>
      <c r="V112" s="34"/>
      <c r="W112" s="33">
        <f>10000</f>
        <v>10000</v>
      </c>
      <c r="X112" s="33"/>
    </row>
    <row r="113" spans="1:24" s="1" customFormat="1" ht="24" customHeight="1">
      <c r="A113" s="30" t="s">
        <v>180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104</v>
      </c>
      <c r="M113" s="31"/>
      <c r="N113" s="31" t="s">
        <v>185</v>
      </c>
      <c r="O113" s="31"/>
      <c r="P113" s="32">
        <f>810515</f>
        <v>810515</v>
      </c>
      <c r="Q113" s="32"/>
      <c r="R113" s="32"/>
      <c r="S113" s="34" t="s">
        <v>48</v>
      </c>
      <c r="T113" s="34"/>
      <c r="U113" s="34"/>
      <c r="V113" s="34"/>
      <c r="W113" s="33">
        <f>810515</f>
        <v>810515</v>
      </c>
      <c r="X113" s="33"/>
    </row>
    <row r="114" spans="1:24" s="1" customFormat="1" ht="13.5" customHeight="1">
      <c r="A114" s="30" t="s">
        <v>111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104</v>
      </c>
      <c r="M114" s="31"/>
      <c r="N114" s="31" t="s">
        <v>186</v>
      </c>
      <c r="O114" s="31"/>
      <c r="P114" s="32">
        <f>650000</f>
        <v>650000</v>
      </c>
      <c r="Q114" s="32"/>
      <c r="R114" s="32"/>
      <c r="S114" s="32">
        <f>482581</f>
        <v>482581</v>
      </c>
      <c r="T114" s="32"/>
      <c r="U114" s="32"/>
      <c r="V114" s="32"/>
      <c r="W114" s="33">
        <f>167419</f>
        <v>167419</v>
      </c>
      <c r="X114" s="33"/>
    </row>
    <row r="115" spans="1:24" s="1" customFormat="1" ht="13.5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104</v>
      </c>
      <c r="M115" s="31"/>
      <c r="N115" s="31" t="s">
        <v>188</v>
      </c>
      <c r="O115" s="31"/>
      <c r="P115" s="32">
        <f>691900</f>
        <v>691900</v>
      </c>
      <c r="Q115" s="32"/>
      <c r="R115" s="32"/>
      <c r="S115" s="32">
        <f>189060.99</f>
        <v>189060.99</v>
      </c>
      <c r="T115" s="32"/>
      <c r="U115" s="32"/>
      <c r="V115" s="32"/>
      <c r="W115" s="33">
        <f>502839.01</f>
        <v>502839.01</v>
      </c>
      <c r="X115" s="33"/>
    </row>
    <row r="116" spans="1:24" s="1" customFormat="1" ht="15" customHeight="1">
      <c r="A116" s="35" t="s">
        <v>189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6" t="s">
        <v>190</v>
      </c>
      <c r="M116" s="36"/>
      <c r="N116" s="36" t="s">
        <v>37</v>
      </c>
      <c r="O116" s="36"/>
      <c r="P116" s="37">
        <f>-14661792.83</f>
        <v>-14661792.83</v>
      </c>
      <c r="Q116" s="37"/>
      <c r="R116" s="37"/>
      <c r="S116" s="37">
        <f>-14022424.56</f>
        <v>-14022424.56</v>
      </c>
      <c r="T116" s="37"/>
      <c r="U116" s="37"/>
      <c r="V116" s="37"/>
      <c r="W116" s="38" t="s">
        <v>37</v>
      </c>
      <c r="X116" s="38"/>
    </row>
    <row r="117" spans="1:24" s="1" customFormat="1" ht="13.5" customHeight="1">
      <c r="A117" s="7" t="s">
        <v>17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12" t="s">
        <v>191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s="1" customFormat="1" ht="45.75" customHeight="1">
      <c r="A119" s="13" t="s">
        <v>23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 t="s">
        <v>24</v>
      </c>
      <c r="M119" s="13"/>
      <c r="N119" s="13" t="s">
        <v>192</v>
      </c>
      <c r="O119" s="13"/>
      <c r="P119" s="14" t="s">
        <v>26</v>
      </c>
      <c r="Q119" s="14"/>
      <c r="R119" s="14"/>
      <c r="S119" s="14" t="s">
        <v>27</v>
      </c>
      <c r="T119" s="14"/>
      <c r="U119" s="14"/>
      <c r="V119" s="14"/>
      <c r="W119" s="15" t="s">
        <v>28</v>
      </c>
      <c r="X119" s="15"/>
    </row>
    <row r="120" spans="1:24" s="1" customFormat="1" ht="12.75" customHeight="1">
      <c r="A120" s="16" t="s">
        <v>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 t="s">
        <v>30</v>
      </c>
      <c r="M120" s="16"/>
      <c r="N120" s="16" t="s">
        <v>31</v>
      </c>
      <c r="O120" s="16"/>
      <c r="P120" s="17" t="s">
        <v>32</v>
      </c>
      <c r="Q120" s="17"/>
      <c r="R120" s="17"/>
      <c r="S120" s="17" t="s">
        <v>33</v>
      </c>
      <c r="T120" s="17"/>
      <c r="U120" s="17"/>
      <c r="V120" s="17"/>
      <c r="W120" s="18" t="s">
        <v>34</v>
      </c>
      <c r="X120" s="18"/>
    </row>
    <row r="121" spans="1:24" s="1" customFormat="1" ht="13.5" customHeight="1">
      <c r="A121" s="19" t="s">
        <v>193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 t="s">
        <v>194</v>
      </c>
      <c r="M121" s="20"/>
      <c r="N121" s="20" t="s">
        <v>37</v>
      </c>
      <c r="O121" s="20"/>
      <c r="P121" s="39">
        <f>14661792.83</f>
        <v>14661792.83</v>
      </c>
      <c r="Q121" s="39"/>
      <c r="R121" s="39"/>
      <c r="S121" s="21">
        <f>14022424.56</f>
        <v>14022424.56</v>
      </c>
      <c r="T121" s="21"/>
      <c r="U121" s="21"/>
      <c r="V121" s="21"/>
      <c r="W121" s="40" t="s">
        <v>37</v>
      </c>
      <c r="X121" s="40"/>
    </row>
    <row r="122" spans="1:24" s="1" customFormat="1" ht="13.5" customHeight="1">
      <c r="A122" s="41" t="s">
        <v>195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2" t="s">
        <v>17</v>
      </c>
      <c r="M122" s="42"/>
      <c r="N122" s="42" t="s">
        <v>17</v>
      </c>
      <c r="O122" s="42"/>
      <c r="P122" s="43" t="s">
        <v>17</v>
      </c>
      <c r="Q122" s="43"/>
      <c r="R122" s="43"/>
      <c r="S122" s="44" t="s">
        <v>17</v>
      </c>
      <c r="T122" s="44"/>
      <c r="U122" s="44"/>
      <c r="V122" s="44"/>
      <c r="W122" s="45" t="s">
        <v>17</v>
      </c>
      <c r="X122" s="45"/>
    </row>
    <row r="123" spans="1:24" s="1" customFormat="1" ht="13.5" customHeight="1">
      <c r="A123" s="23" t="s">
        <v>196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46" t="s">
        <v>197</v>
      </c>
      <c r="M123" s="46"/>
      <c r="N123" s="24" t="s">
        <v>37</v>
      </c>
      <c r="O123" s="24"/>
      <c r="P123" s="47">
        <f>5611800</f>
        <v>5611800</v>
      </c>
      <c r="Q123" s="47"/>
      <c r="R123" s="47"/>
      <c r="S123" s="25">
        <f>6111800</f>
        <v>6111800</v>
      </c>
      <c r="T123" s="25"/>
      <c r="U123" s="25"/>
      <c r="V123" s="25"/>
      <c r="W123" s="48" t="s">
        <v>48</v>
      </c>
      <c r="X123" s="48"/>
    </row>
    <row r="124" spans="1:24" s="1" customFormat="1" ht="24" customHeight="1">
      <c r="A124" s="30" t="s">
        <v>198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197</v>
      </c>
      <c r="M124" s="31"/>
      <c r="N124" s="31" t="s">
        <v>199</v>
      </c>
      <c r="O124" s="31"/>
      <c r="P124" s="49">
        <f>5000000</f>
        <v>5000000</v>
      </c>
      <c r="Q124" s="49"/>
      <c r="R124" s="49"/>
      <c r="S124" s="32">
        <f>5000000</f>
        <v>5000000</v>
      </c>
      <c r="T124" s="32"/>
      <c r="U124" s="32"/>
      <c r="V124" s="32"/>
      <c r="W124" s="50">
        <f>0</f>
        <v>0</v>
      </c>
      <c r="X124" s="50"/>
    </row>
    <row r="125" spans="1:24" s="1" customFormat="1" ht="24" customHeight="1">
      <c r="A125" s="30" t="s">
        <v>200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197</v>
      </c>
      <c r="M125" s="31"/>
      <c r="N125" s="31" t="s">
        <v>201</v>
      </c>
      <c r="O125" s="31"/>
      <c r="P125" s="49">
        <f>-2000000</f>
        <v>-2000000</v>
      </c>
      <c r="Q125" s="49"/>
      <c r="R125" s="49"/>
      <c r="S125" s="32">
        <f>-2000000</f>
        <v>-2000000</v>
      </c>
      <c r="T125" s="32"/>
      <c r="U125" s="32"/>
      <c r="V125" s="32"/>
      <c r="W125" s="50">
        <f>0</f>
        <v>0</v>
      </c>
      <c r="X125" s="50"/>
    </row>
    <row r="126" spans="1:24" s="1" customFormat="1" ht="24" customHeight="1">
      <c r="A126" s="30" t="s">
        <v>202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197</v>
      </c>
      <c r="M126" s="31"/>
      <c r="N126" s="31" t="s">
        <v>203</v>
      </c>
      <c r="O126" s="31"/>
      <c r="P126" s="49">
        <f>2611800</f>
        <v>2611800</v>
      </c>
      <c r="Q126" s="49"/>
      <c r="R126" s="49"/>
      <c r="S126" s="32">
        <f>3111800</f>
        <v>3111800</v>
      </c>
      <c r="T126" s="32"/>
      <c r="U126" s="32"/>
      <c r="V126" s="32"/>
      <c r="W126" s="51" t="s">
        <v>48</v>
      </c>
      <c r="X126" s="51"/>
    </row>
    <row r="127" spans="1:24" s="1" customFormat="1" ht="13.5" customHeight="1">
      <c r="A127" s="30" t="s">
        <v>204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42" t="s">
        <v>205</v>
      </c>
      <c r="M127" s="42"/>
      <c r="N127" s="42" t="s">
        <v>37</v>
      </c>
      <c r="O127" s="42"/>
      <c r="P127" s="43" t="s">
        <v>48</v>
      </c>
      <c r="Q127" s="43"/>
      <c r="R127" s="43"/>
      <c r="S127" s="34" t="s">
        <v>48</v>
      </c>
      <c r="T127" s="34"/>
      <c r="U127" s="34"/>
      <c r="V127" s="34"/>
      <c r="W127" s="45" t="s">
        <v>48</v>
      </c>
      <c r="X127" s="45"/>
    </row>
    <row r="128" spans="1:24" s="1" customFormat="1" ht="13.5" customHeight="1">
      <c r="A128" s="30" t="s">
        <v>17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205</v>
      </c>
      <c r="M128" s="31"/>
      <c r="N128" s="31" t="s">
        <v>17</v>
      </c>
      <c r="O128" s="31"/>
      <c r="P128" s="52" t="s">
        <v>48</v>
      </c>
      <c r="Q128" s="52"/>
      <c r="R128" s="52"/>
      <c r="S128" s="34" t="s">
        <v>48</v>
      </c>
      <c r="T128" s="34"/>
      <c r="U128" s="34"/>
      <c r="V128" s="34"/>
      <c r="W128" s="51" t="s">
        <v>48</v>
      </c>
      <c r="X128" s="51"/>
    </row>
    <row r="129" spans="1:24" s="1" customFormat="1" ht="13.5" customHeight="1">
      <c r="A129" s="30" t="s">
        <v>206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207</v>
      </c>
      <c r="M129" s="31"/>
      <c r="N129" s="31" t="s">
        <v>208</v>
      </c>
      <c r="O129" s="31"/>
      <c r="P129" s="49">
        <f>9049992.83</f>
        <v>9049992.83</v>
      </c>
      <c r="Q129" s="49"/>
      <c r="R129" s="49"/>
      <c r="S129" s="32">
        <f>7910624.56</f>
        <v>7910624.56</v>
      </c>
      <c r="T129" s="32"/>
      <c r="U129" s="32"/>
      <c r="V129" s="32"/>
      <c r="W129" s="50">
        <f>1139368.27</f>
        <v>1139368.27</v>
      </c>
      <c r="X129" s="50"/>
    </row>
    <row r="130" spans="1:24" s="1" customFormat="1" ht="13.5" customHeight="1">
      <c r="A130" s="30" t="s">
        <v>209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210</v>
      </c>
      <c r="M130" s="31"/>
      <c r="N130" s="31" t="s">
        <v>211</v>
      </c>
      <c r="O130" s="31"/>
      <c r="P130" s="49">
        <f>-128542800</f>
        <v>-128542800</v>
      </c>
      <c r="Q130" s="49"/>
      <c r="R130" s="49"/>
      <c r="S130" s="32">
        <f>-74087159.48</f>
        <v>-74087159.48</v>
      </c>
      <c r="T130" s="32"/>
      <c r="U130" s="32"/>
      <c r="V130" s="32"/>
      <c r="W130" s="53" t="s">
        <v>37</v>
      </c>
      <c r="X130" s="53"/>
    </row>
    <row r="131" spans="1:24" s="1" customFormat="1" ht="13.5" customHeight="1">
      <c r="A131" s="30" t="s">
        <v>212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213</v>
      </c>
      <c r="M131" s="31"/>
      <c r="N131" s="31" t="s">
        <v>214</v>
      </c>
      <c r="O131" s="31"/>
      <c r="P131" s="49">
        <f>137592792.83</f>
        <v>137592792.83</v>
      </c>
      <c r="Q131" s="49"/>
      <c r="R131" s="49"/>
      <c r="S131" s="32">
        <f>81997784.04</f>
        <v>81997784.04</v>
      </c>
      <c r="T131" s="32"/>
      <c r="U131" s="32"/>
      <c r="V131" s="32"/>
      <c r="W131" s="53" t="s">
        <v>37</v>
      </c>
      <c r="X131" s="53"/>
    </row>
    <row r="132" spans="1:24" s="1" customFormat="1" ht="13.5" customHeight="1">
      <c r="A132" s="55" t="s">
        <v>17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1:24" s="1" customFormat="1" ht="24" customHeight="1">
      <c r="A133" s="7" t="s">
        <v>215</v>
      </c>
      <c r="B133" s="7"/>
      <c r="C133" s="7"/>
      <c r="D133" s="7"/>
      <c r="E133" s="7"/>
      <c r="F133" s="7"/>
      <c r="G133" s="7"/>
      <c r="H133" s="7"/>
      <c r="I133" s="54" t="s">
        <v>17</v>
      </c>
      <c r="J133" s="54"/>
      <c r="K133" s="54"/>
      <c r="L133" s="54"/>
      <c r="M133" s="54"/>
      <c r="N133" s="54" t="s">
        <v>216</v>
      </c>
      <c r="O133" s="54"/>
      <c r="P133" s="54"/>
      <c r="Q133" s="54"/>
      <c r="R133" s="7" t="s">
        <v>17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17</v>
      </c>
      <c r="B134" s="7"/>
      <c r="C134" s="7"/>
      <c r="D134" s="7"/>
      <c r="E134" s="7"/>
      <c r="F134" s="7"/>
      <c r="G134" s="7"/>
      <c r="H134" s="7"/>
      <c r="I134" s="10" t="s">
        <v>17</v>
      </c>
      <c r="J134" s="56" t="s">
        <v>217</v>
      </c>
      <c r="K134" s="56"/>
      <c r="L134" s="56"/>
      <c r="M134" s="10" t="s">
        <v>17</v>
      </c>
      <c r="N134" s="10" t="s">
        <v>17</v>
      </c>
      <c r="O134" s="56" t="s">
        <v>218</v>
      </c>
      <c r="P134" s="56"/>
      <c r="Q134" s="7" t="s">
        <v>17</v>
      </c>
      <c r="R134" s="7"/>
      <c r="S134" s="7"/>
      <c r="T134" s="7"/>
      <c r="U134" s="7"/>
      <c r="V134" s="7"/>
      <c r="W134" s="7"/>
      <c r="X134" s="7"/>
    </row>
    <row r="135" spans="1:24" s="1" customFormat="1" ht="7.5" customHeight="1">
      <c r="A135" s="7" t="s">
        <v>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219</v>
      </c>
      <c r="B136" s="7"/>
      <c r="C136" s="7"/>
      <c r="D136" s="7"/>
      <c r="E136" s="7"/>
      <c r="F136" s="7"/>
      <c r="G136" s="7"/>
      <c r="H136" s="7"/>
      <c r="I136" s="54" t="s">
        <v>17</v>
      </c>
      <c r="J136" s="54"/>
      <c r="K136" s="54"/>
      <c r="L136" s="54"/>
      <c r="M136" s="54"/>
      <c r="N136" s="54" t="s">
        <v>220</v>
      </c>
      <c r="O136" s="54"/>
      <c r="P136" s="54"/>
      <c r="Q136" s="54"/>
      <c r="R136" s="7" t="s">
        <v>17</v>
      </c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10" t="s">
        <v>17</v>
      </c>
      <c r="J137" s="56" t="s">
        <v>217</v>
      </c>
      <c r="K137" s="56"/>
      <c r="L137" s="56"/>
      <c r="M137" s="10" t="s">
        <v>17</v>
      </c>
      <c r="N137" s="10" t="s">
        <v>17</v>
      </c>
      <c r="O137" s="56" t="s">
        <v>218</v>
      </c>
      <c r="P137" s="56"/>
      <c r="Q137" s="7" t="s">
        <v>17</v>
      </c>
      <c r="R137" s="7"/>
      <c r="S137" s="7"/>
      <c r="T137" s="7"/>
      <c r="U137" s="7"/>
      <c r="V137" s="7"/>
      <c r="W137" s="7"/>
      <c r="X137" s="7"/>
    </row>
    <row r="138" spans="1:24" s="1" customFormat="1" ht="7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221</v>
      </c>
      <c r="B139" s="7"/>
      <c r="C139" s="54" t="s">
        <v>222</v>
      </c>
      <c r="D139" s="54"/>
      <c r="E139" s="54"/>
      <c r="F139" s="54"/>
      <c r="G139" s="54"/>
      <c r="H139" s="54"/>
      <c r="I139" s="54" t="s">
        <v>17</v>
      </c>
      <c r="J139" s="54"/>
      <c r="K139" s="54"/>
      <c r="L139" s="54"/>
      <c r="M139" s="54"/>
      <c r="N139" s="54" t="s">
        <v>223</v>
      </c>
      <c r="O139" s="54"/>
      <c r="P139" s="54"/>
      <c r="Q139" s="54"/>
      <c r="R139" s="7" t="s">
        <v>17</v>
      </c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17</v>
      </c>
      <c r="B140" s="7"/>
      <c r="C140" s="10" t="s">
        <v>17</v>
      </c>
      <c r="D140" s="56" t="s">
        <v>224</v>
      </c>
      <c r="E140" s="56"/>
      <c r="F140" s="56"/>
      <c r="G140" s="56"/>
      <c r="H140" s="10" t="s">
        <v>17</v>
      </c>
      <c r="I140" s="10" t="s">
        <v>17</v>
      </c>
      <c r="J140" s="56" t="s">
        <v>217</v>
      </c>
      <c r="K140" s="56"/>
      <c r="L140" s="56"/>
      <c r="M140" s="10" t="s">
        <v>17</v>
      </c>
      <c r="N140" s="10" t="s">
        <v>17</v>
      </c>
      <c r="O140" s="56" t="s">
        <v>218</v>
      </c>
      <c r="P140" s="56"/>
      <c r="Q140" s="7" t="s">
        <v>17</v>
      </c>
      <c r="R140" s="7"/>
      <c r="S140" s="7"/>
      <c r="T140" s="7"/>
      <c r="U140" s="7"/>
      <c r="V140" s="7"/>
      <c r="W140" s="7"/>
      <c r="X140" s="7"/>
    </row>
    <row r="141" spans="1:24" s="1" customFormat="1" ht="15.75" customHeight="1">
      <c r="A141" s="7" t="s">
        <v>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57" t="s">
        <v>225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7" t="s">
        <v>17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4" t="s">
        <v>226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</sheetData>
  <sheetProtection/>
  <mergeCells count="761">
    <mergeCell ref="A142:J142"/>
    <mergeCell ref="K142:X142"/>
    <mergeCell ref="A143:X143"/>
    <mergeCell ref="A140:B140"/>
    <mergeCell ref="D140:G140"/>
    <mergeCell ref="J140:L140"/>
    <mergeCell ref="O140:P140"/>
    <mergeCell ref="Q140:X140"/>
    <mergeCell ref="A141:X141"/>
    <mergeCell ref="A138:X138"/>
    <mergeCell ref="A139:B139"/>
    <mergeCell ref="C139:H139"/>
    <mergeCell ref="I139:M139"/>
    <mergeCell ref="N139:Q139"/>
    <mergeCell ref="R139:X139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2:X132"/>
    <mergeCell ref="A133:H133"/>
    <mergeCell ref="I133:M133"/>
    <mergeCell ref="N133:Q133"/>
    <mergeCell ref="R133:X133"/>
    <mergeCell ref="A134:H134"/>
    <mergeCell ref="J134:L134"/>
    <mergeCell ref="O134:P134"/>
    <mergeCell ref="Q134:X134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7:X117"/>
    <mergeCell ref="A118:X118"/>
    <mergeCell ref="A119:K119"/>
    <mergeCell ref="L119:M119"/>
    <mergeCell ref="N119:O119"/>
    <mergeCell ref="P119:R119"/>
    <mergeCell ref="S119:V119"/>
    <mergeCell ref="W119:X119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2023-10-04T06:59:58Z</dcterms:created>
  <dcterms:modified xsi:type="dcterms:W3CDTF">2023-10-04T06:59:58Z</dcterms:modified>
  <cp:category/>
  <cp:version/>
  <cp:contentType/>
  <cp:contentStatus/>
</cp:coreProperties>
</file>