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<sst xmlns="http://schemas.openxmlformats.org/spreadsheetml/2006/main" count="536" uniqueCount="214">
  <si>
    <t>ОТЧЕТ ОБ ИСПОЛНЕНИИ БЮДЖЕТА</t>
  </si>
  <si>
    <t>КОДЫ</t>
  </si>
  <si>
    <t xml:space="preserve">Форма по ОКУД </t>
  </si>
  <si>
    <t>0503117</t>
  </si>
  <si>
    <t>на 1 апреля 2015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</si>
  <si>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</si>
  <si>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</si>
  <si>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</si>
  <si>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</si>
  <si>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</si>
  <si>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</si>
  <si>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</si>
  <si>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</si>
  <si>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</si>
  <si>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</si>
  <si>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</si>
  <si>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</si>
  <si>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</si>
  <si>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</si>
  <si>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</si>
  <si>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</si>
  <si>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</si>
  <si>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</si>
  <si>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</si>
  <si>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</si>
  <si>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</si>
  <si>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</si>
  <si>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</si>
  <si>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</si>
  <si>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</si>
  <si>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</si>
  <si>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</si>
  <si>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</si>
  <si>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</si>
  <si>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</si>
  <si>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</si>
  <si>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</si>
  <si>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</si>
  <si>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</si>
  <si>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</si>
  <si>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</si>
  <si>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</si>
  <si>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</si>
  <si>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</si>
  <si>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</si>
  <si>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</si>
  <si>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</si>
  <si>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</si>
  <si>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</si>
  <si>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</si>
  <si>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</si>
  <si>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</si>
  <si>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</si>
  <si>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</si>
  <si>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</si>
  <si>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</si>
  <si>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</si>
  <si>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</si>
  <si>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</si>
  <si>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</si>
  <si>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</si>
  <si>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</si>
  <si>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</si>
  <si>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</si>
  <si>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</si>
  <si>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</si>
  <si>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</si>
  <si>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</si>
  <si>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</si>
  <si>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</si>
  <si>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</si>
  <si>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</si>
  <si>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</si>
  <si>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</si>
  <si>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</si>
  <si>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</si>
  <si>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</si>
  <si>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</si>
  <si>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</si>
  <si>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</si>
  <si>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</si>
  <si>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</si>
  <si>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</si>
  <si>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</si>
  <si>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</si>
  <si>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</si>
  <si>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992 0102 5010019 121 211</t>
  </si>
  <si>
    <t>Начисления на выплаты по оплате труда</t>
  </si>
  <si>
    <t>992 0102 5010019 121 213</t>
  </si>
  <si>
    <t>992 0104 5110019 121 211</t>
  </si>
  <si>
    <t>992 0104 5110019 121 213</t>
  </si>
  <si>
    <t>Услуги связи</t>
  </si>
  <si>
    <t>992 0104 5110019 244 221</t>
  </si>
  <si>
    <t>Работы, услуги по содержанию имущества</t>
  </si>
  <si>
    <t>992 0104 5110019 244 225</t>
  </si>
  <si>
    <t>Прочие работы, услуги</t>
  </si>
  <si>
    <t>992 0104 5110019 244 226</t>
  </si>
  <si>
    <t>Увеличение стоимости основных средств</t>
  </si>
  <si>
    <t>992 0104 5110019 244 310</t>
  </si>
  <si>
    <t>Увеличение стоимости материальных запасов</t>
  </si>
  <si>
    <t>992 0104 5110019 244 340</t>
  </si>
  <si>
    <t>Прочие расходы</t>
  </si>
  <si>
    <t>992 0104 5110019 851 290</t>
  </si>
  <si>
    <t>992 0104 5110019 852 290</t>
  </si>
  <si>
    <t>992 0104 5126019 244 340</t>
  </si>
  <si>
    <t>Перечисления другим бюджетам бюджетной системы Российской Федерации</t>
  </si>
  <si>
    <t>992 0106 7590019 540 251</t>
  </si>
  <si>
    <t>992 0111 5152059 870 290</t>
  </si>
  <si>
    <t>992 0113 0100000 244 226</t>
  </si>
  <si>
    <t>992 0113 0200000 244 290</t>
  </si>
  <si>
    <t>992 0113 0350010 244 226</t>
  </si>
  <si>
    <t>992 0113 5180059 111 211</t>
  </si>
  <si>
    <t>992 0113 5180059 111 213</t>
  </si>
  <si>
    <t>992 0113 5180059 244 221</t>
  </si>
  <si>
    <t>Коммунальные услуги</t>
  </si>
  <si>
    <t>992 0113 5180059 244 223</t>
  </si>
  <si>
    <t>992 0113 5180059 244 225</t>
  </si>
  <si>
    <t>992 0113 5180059 244 226</t>
  </si>
  <si>
    <t>992 0113 5180059 244 310</t>
  </si>
  <si>
    <t>992 0113 5180059 244 340</t>
  </si>
  <si>
    <t>992 0113 5180059 851 290</t>
  </si>
  <si>
    <t>992 0113 5180059 852 290</t>
  </si>
  <si>
    <t>992 0203 5525118 121 211</t>
  </si>
  <si>
    <t>992 0203 5525118 121 213</t>
  </si>
  <si>
    <t>992 0309 0310001 244 225</t>
  </si>
  <si>
    <t>992 0309 0310001 244 340</t>
  </si>
  <si>
    <t>992 0309 0310002 244 226</t>
  </si>
  <si>
    <t>992 0309 0310003 244 226</t>
  </si>
  <si>
    <t>992 0309 0330007 244 340</t>
  </si>
  <si>
    <t>992 0309 0330008 244 340</t>
  </si>
  <si>
    <t>992 0309 0340009 244 226</t>
  </si>
  <si>
    <t>992 0309 5690059 540 251</t>
  </si>
  <si>
    <t>992 0314 0320004 244 226</t>
  </si>
  <si>
    <t>992 0314 0320005 244 226</t>
  </si>
  <si>
    <t>992 0314 0320006 244 225</t>
  </si>
  <si>
    <t>992 0409 0410040 244 225</t>
  </si>
  <si>
    <t>992 0409 0410042 244 225</t>
  </si>
  <si>
    <t>992 0409 0410042 244 340</t>
  </si>
  <si>
    <t>992 0409 0416027 244 225</t>
  </si>
  <si>
    <t>992 0409 0420013 244 225</t>
  </si>
  <si>
    <t>992 0409 0420013 831 290</t>
  </si>
  <si>
    <t>992 0409 0420014 244 340</t>
  </si>
  <si>
    <t>992 0412 0500015 244 226</t>
  </si>
  <si>
    <t>992 0412 0600016 244 340</t>
  </si>
  <si>
    <t>992 0502 0700017 244 225</t>
  </si>
  <si>
    <t>992 0502 0700018 244 310</t>
  </si>
  <si>
    <t>992 0502 0700018 831 290</t>
  </si>
  <si>
    <t>992 0502 0700041 244 225</t>
  </si>
  <si>
    <t>992 0503 0800020 244 223</t>
  </si>
  <si>
    <t>992 0503 0800020 244 225</t>
  </si>
  <si>
    <t>992 0503 0800020 244 340</t>
  </si>
  <si>
    <t>992 0503 0800021 244 225</t>
  </si>
  <si>
    <t>992 0503 0800022 244 340</t>
  </si>
  <si>
    <t>992 0503 0800023 244 225</t>
  </si>
  <si>
    <t>992 0503 0800023 244 226</t>
  </si>
  <si>
    <t>992 0503 0800023 244 310</t>
  </si>
  <si>
    <t>992 0503 0800023 244 340</t>
  </si>
  <si>
    <t>992 0503 1500043 244 225</t>
  </si>
  <si>
    <t>992 0707 0900024 244 226</t>
  </si>
  <si>
    <t>992 0707 0900025 244 226</t>
  </si>
  <si>
    <t>992 0801 1010026 244 225</t>
  </si>
  <si>
    <t>992 0801 1010026 244 226</t>
  </si>
  <si>
    <t>992 0801 1010026 244 340</t>
  </si>
  <si>
    <t>Безвозмездные перечисления государственным и муниципальным организациям</t>
  </si>
  <si>
    <t>992 0801 1020027 612 241</t>
  </si>
  <si>
    <t>992 0801 1020028 611 241</t>
  </si>
  <si>
    <t>992 0801 1020029 612 241</t>
  </si>
  <si>
    <t>992 0801 1030030 611 241</t>
  </si>
  <si>
    <t>992 0801 1030031 611 241</t>
  </si>
  <si>
    <t>992 0804 1100032 244 226</t>
  </si>
  <si>
    <t>992 0804 1100032 244 340</t>
  </si>
  <si>
    <t>992 0804 1100033 244 226</t>
  </si>
  <si>
    <t>992 0804 1100033 244 340</t>
  </si>
  <si>
    <t>992 0804 1100034 244 340</t>
  </si>
  <si>
    <t>992 0804 1100035 244 290</t>
  </si>
  <si>
    <t>992 0804 1100035 244 340</t>
  </si>
  <si>
    <t>Пенсии, пособия, выплачиваемые организациями сектора государственного управления</t>
  </si>
  <si>
    <t>992 1001 1200036 313 263</t>
  </si>
  <si>
    <t>992 1102 1300037 611 241</t>
  </si>
  <si>
    <t>992 1204 1400044 244 226</t>
  </si>
  <si>
    <t>992 1204 1400044 244 340</t>
  </si>
  <si>
    <t>Обслуживание внутреннего долга</t>
  </si>
  <si>
    <t>992 1301 9611015 730 231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</si>
  <si>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</si>
  <si>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</si>
  <si>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</si>
  <si>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</si>
  <si>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</si>
  <si>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</si>
  <si>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</si>
  <si>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</si>
  <si>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</si>
  <si>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</si>
  <si>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</si>
  <si>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</si>
  <si>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</si>
  <si>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</si>
  <si>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</si>
  <si>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</si>
  <si>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</si>
  <si>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</si>
  <si>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</si>
  <si>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</si>
  <si>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</si>
  <si>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</si>
  <si>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</si>
  <si>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</si>
  <si>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</si>
  <si>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</si>
  <si>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</si>
  <si>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</si>
  <si>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</si>
  <si>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5 апреля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</si>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</sst>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42095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29127700</f>
        <v>29127700</v>
      </c>
      <c r="Q12" s="21"/>
      <c r="R12" s="21"/>
      <c r="S12" s="21">
        <f>6268698.89</f>
        <v>6268698.89</v>
      </c>
      <c r="T12" s="21"/>
      <c r="U12" s="21"/>
      <c r="V12" s="21"/>
      <c r="W12" s="22">
        <f>22859001.11</f>
        <v>22859001.11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 t="s">
        <v>40</v>
      </c>
      <c r="Q13" s="25"/>
      <c r="R13" s="25"/>
      <c r="S13" s="26">
        <f>338434.24</f>
        <v>338434.24</v>
      </c>
      <c r="T13" s="26"/>
      <c r="U13" s="26"/>
      <c r="V13" s="26"/>
      <c r="W13" s="27">
        <f>0</f>
        <v>0</v>
      </c>
      <c r="X13" s="27"/>
    </row>
    <row r="14" spans="1:24" s="1" customFormat="1" ht="54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42</v>
      </c>
      <c r="O14" s="24"/>
      <c r="P14" s="25" t="s">
        <v>40</v>
      </c>
      <c r="Q14" s="25"/>
      <c r="R14" s="25"/>
      <c r="S14" s="26">
        <f>7584.53</f>
        <v>7584.53</v>
      </c>
      <c r="T14" s="26"/>
      <c r="U14" s="26"/>
      <c r="V14" s="26"/>
      <c r="W14" s="27">
        <f>0</f>
        <v>0</v>
      </c>
      <c r="X14" s="27"/>
    </row>
    <row r="15" spans="1:24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6">
        <f>2627000</f>
        <v>2627000</v>
      </c>
      <c r="Q15" s="26"/>
      <c r="R15" s="26"/>
      <c r="S15" s="26">
        <f>677086.03</f>
        <v>677086.03</v>
      </c>
      <c r="T15" s="26"/>
      <c r="U15" s="26"/>
      <c r="V15" s="26"/>
      <c r="W15" s="27">
        <f>1949913.97</f>
        <v>1949913.97</v>
      </c>
      <c r="X15" s="27"/>
    </row>
    <row r="16" spans="1:24" s="1" customFormat="1" ht="4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5" t="s">
        <v>40</v>
      </c>
      <c r="Q16" s="25"/>
      <c r="R16" s="25"/>
      <c r="S16" s="26">
        <f>-22063.65</f>
        <v>-22063.65</v>
      </c>
      <c r="T16" s="26"/>
      <c r="U16" s="26"/>
      <c r="V16" s="26"/>
      <c r="W16" s="27">
        <f>0</f>
        <v>0</v>
      </c>
      <c r="X16" s="27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6">
        <f>7700000</f>
        <v>7700000</v>
      </c>
      <c r="Q17" s="26"/>
      <c r="R17" s="26"/>
      <c r="S17" s="26">
        <f>1613436.49</f>
        <v>1613436.49</v>
      </c>
      <c r="T17" s="26"/>
      <c r="U17" s="26"/>
      <c r="V17" s="26"/>
      <c r="W17" s="27">
        <f>6086563.51</f>
        <v>6086563.51</v>
      </c>
      <c r="X17" s="27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 t="s">
        <v>40</v>
      </c>
      <c r="Q18" s="25"/>
      <c r="R18" s="25"/>
      <c r="S18" s="26">
        <f>13724.23</f>
        <v>13724.23</v>
      </c>
      <c r="T18" s="26"/>
      <c r="U18" s="26"/>
      <c r="V18" s="26"/>
      <c r="W18" s="27">
        <f>0</f>
        <v>0</v>
      </c>
      <c r="X18" s="27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 t="s">
        <v>40</v>
      </c>
      <c r="Q19" s="25"/>
      <c r="R19" s="25"/>
      <c r="S19" s="26">
        <f>5838.04</f>
        <v>5838.04</v>
      </c>
      <c r="T19" s="26"/>
      <c r="U19" s="26"/>
      <c r="V19" s="26"/>
      <c r="W19" s="27">
        <f>0</f>
        <v>0</v>
      </c>
      <c r="X19" s="27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 t="s">
        <v>40</v>
      </c>
      <c r="Q20" s="25"/>
      <c r="R20" s="25"/>
      <c r="S20" s="26">
        <f>11164.93</f>
        <v>11164.93</v>
      </c>
      <c r="T20" s="26"/>
      <c r="U20" s="26"/>
      <c r="V20" s="26"/>
      <c r="W20" s="27">
        <f>0</f>
        <v>0</v>
      </c>
      <c r="X20" s="27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6">
        <f>586000</f>
        <v>586000</v>
      </c>
      <c r="Q21" s="26"/>
      <c r="R21" s="26"/>
      <c r="S21" s="26">
        <f>342763.57</f>
        <v>342763.57</v>
      </c>
      <c r="T21" s="26"/>
      <c r="U21" s="26"/>
      <c r="V21" s="26"/>
      <c r="W21" s="27">
        <f>243236.43</f>
        <v>243236.43</v>
      </c>
      <c r="X21" s="27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6">
        <f>1370000</f>
        <v>1370000</v>
      </c>
      <c r="Q22" s="26"/>
      <c r="R22" s="26"/>
      <c r="S22" s="26">
        <f>144398.59</f>
        <v>144398.59</v>
      </c>
      <c r="T22" s="26"/>
      <c r="U22" s="26"/>
      <c r="V22" s="26"/>
      <c r="W22" s="27">
        <f>1225601.41</f>
        <v>1225601.41</v>
      </c>
      <c r="X22" s="27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6">
        <f>4500000</f>
        <v>4500000</v>
      </c>
      <c r="Q23" s="26"/>
      <c r="R23" s="26"/>
      <c r="S23" s="26">
        <f>727296.36</f>
        <v>727296.36</v>
      </c>
      <c r="T23" s="26"/>
      <c r="U23" s="26"/>
      <c r="V23" s="26"/>
      <c r="W23" s="27">
        <f>3772703.64</f>
        <v>3772703.64</v>
      </c>
      <c r="X23" s="27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6">
        <f>5000000</f>
        <v>5000000</v>
      </c>
      <c r="Q24" s="26"/>
      <c r="R24" s="26"/>
      <c r="S24" s="26">
        <f>489298.2</f>
        <v>489298.2</v>
      </c>
      <c r="T24" s="26"/>
      <c r="U24" s="26"/>
      <c r="V24" s="26"/>
      <c r="W24" s="27">
        <f>4510701.8</f>
        <v>4510701.8</v>
      </c>
      <c r="X24" s="27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 t="s">
        <v>40</v>
      </c>
      <c r="Q25" s="25"/>
      <c r="R25" s="25"/>
      <c r="S25" s="26">
        <f>101.6</f>
        <v>101.6</v>
      </c>
      <c r="T25" s="26"/>
      <c r="U25" s="26"/>
      <c r="V25" s="26"/>
      <c r="W25" s="27">
        <f>0</f>
        <v>0</v>
      </c>
      <c r="X25" s="27"/>
    </row>
    <row r="26" spans="1:24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 t="s">
        <v>40</v>
      </c>
      <c r="Q26" s="25"/>
      <c r="R26" s="25"/>
      <c r="S26" s="26">
        <f>4300</f>
        <v>4300</v>
      </c>
      <c r="T26" s="26"/>
      <c r="U26" s="26"/>
      <c r="V26" s="26"/>
      <c r="W26" s="27">
        <f>0</f>
        <v>0</v>
      </c>
      <c r="X26" s="27"/>
    </row>
    <row r="27" spans="1:24" s="1" customFormat="1" ht="4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6">
        <f>0</f>
        <v>0</v>
      </c>
      <c r="Q27" s="26"/>
      <c r="R27" s="26"/>
      <c r="S27" s="25" t="s">
        <v>40</v>
      </c>
      <c r="T27" s="25"/>
      <c r="U27" s="25"/>
      <c r="V27" s="25"/>
      <c r="W27" s="27">
        <f>0</f>
        <v>0</v>
      </c>
      <c r="X27" s="27"/>
    </row>
    <row r="28" spans="1:24" s="1" customFormat="1" ht="33.7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6">
        <f>0</f>
        <v>0</v>
      </c>
      <c r="Q28" s="26"/>
      <c r="R28" s="26"/>
      <c r="S28" s="25" t="s">
        <v>40</v>
      </c>
      <c r="T28" s="25"/>
      <c r="U28" s="25"/>
      <c r="V28" s="25"/>
      <c r="W28" s="27">
        <f>0</f>
        <v>0</v>
      </c>
      <c r="X28" s="27"/>
    </row>
    <row r="29" spans="1:24" s="1" customFormat="1" ht="33.7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6">
        <f>390000</f>
        <v>390000</v>
      </c>
      <c r="Q29" s="26"/>
      <c r="R29" s="26"/>
      <c r="S29" s="26">
        <f>33485.73</f>
        <v>33485.73</v>
      </c>
      <c r="T29" s="26"/>
      <c r="U29" s="26"/>
      <c r="V29" s="26"/>
      <c r="W29" s="27">
        <f>356514.27</f>
        <v>356514.27</v>
      </c>
      <c r="X29" s="27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6">
        <f>5483800</f>
        <v>5483800</v>
      </c>
      <c r="Q30" s="26"/>
      <c r="R30" s="26"/>
      <c r="S30" s="26">
        <f>1444900</f>
        <v>1444900</v>
      </c>
      <c r="T30" s="26"/>
      <c r="U30" s="26"/>
      <c r="V30" s="26"/>
      <c r="W30" s="27">
        <f>4038900</f>
        <v>4038900</v>
      </c>
      <c r="X30" s="27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6">
        <f>1100000</f>
        <v>1100000</v>
      </c>
      <c r="Q31" s="26"/>
      <c r="R31" s="26"/>
      <c r="S31" s="26">
        <f>338525</f>
        <v>338525</v>
      </c>
      <c r="T31" s="26"/>
      <c r="U31" s="26"/>
      <c r="V31" s="26"/>
      <c r="W31" s="27">
        <f>761475</f>
        <v>761475</v>
      </c>
      <c r="X31" s="27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6">
        <f>363300</f>
        <v>363300</v>
      </c>
      <c r="Q32" s="26"/>
      <c r="R32" s="26"/>
      <c r="S32" s="26">
        <f>90825</f>
        <v>90825</v>
      </c>
      <c r="T32" s="26"/>
      <c r="U32" s="26"/>
      <c r="V32" s="26"/>
      <c r="W32" s="27">
        <f>272475</f>
        <v>272475</v>
      </c>
      <c r="X32" s="27"/>
    </row>
    <row r="33" spans="1:24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6">
        <f>7600</f>
        <v>7600</v>
      </c>
      <c r="Q33" s="26"/>
      <c r="R33" s="26"/>
      <c r="S33" s="26">
        <f>7600</f>
        <v>7600</v>
      </c>
      <c r="T33" s="26"/>
      <c r="U33" s="26"/>
      <c r="V33" s="26"/>
      <c r="W33" s="27">
        <f>0</f>
        <v>0</v>
      </c>
      <c r="X33" s="27"/>
    </row>
    <row r="34" spans="1:24" s="1" customFormat="1" ht="13.5" customHeight="1">
      <c r="A34" s="28" t="s">
        <v>17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s="1" customFormat="1" ht="13.5" customHeight="1">
      <c r="A35" s="12" t="s">
        <v>81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" customFormat="1" ht="34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 t="s">
        <v>24</v>
      </c>
      <c r="M36" s="13"/>
      <c r="N36" s="13" t="s">
        <v>82</v>
      </c>
      <c r="O36" s="13"/>
      <c r="P36" s="14" t="s">
        <v>26</v>
      </c>
      <c r="Q36" s="14"/>
      <c r="R36" s="14"/>
      <c r="S36" s="14" t="s">
        <v>27</v>
      </c>
      <c r="T36" s="14"/>
      <c r="U36" s="14"/>
      <c r="V36" s="14"/>
      <c r="W36" s="15" t="s">
        <v>28</v>
      </c>
      <c r="X36" s="15"/>
    </row>
    <row r="37" spans="1:24" s="1" customFormat="1" ht="13.5" customHeight="1">
      <c r="A37" s="16" t="s">
        <v>29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 t="s">
        <v>30</v>
      </c>
      <c r="M37" s="16"/>
      <c r="N37" s="16" t="s">
        <v>31</v>
      </c>
      <c r="O37" s="16"/>
      <c r="P37" s="17" t="s">
        <v>32</v>
      </c>
      <c r="Q37" s="17"/>
      <c r="R37" s="17"/>
      <c r="S37" s="17" t="s">
        <v>33</v>
      </c>
      <c r="T37" s="17"/>
      <c r="U37" s="17"/>
      <c r="V37" s="17"/>
      <c r="W37" s="18" t="s">
        <v>34</v>
      </c>
      <c r="X37" s="18"/>
    </row>
    <row r="38" spans="1:24" s="1" customFormat="1" ht="13.5" customHeight="1">
      <c r="A38" s="19" t="s">
        <v>83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 t="s">
        <v>84</v>
      </c>
      <c r="M38" s="20"/>
      <c r="N38" s="20" t="s">
        <v>37</v>
      </c>
      <c r="O38" s="20"/>
      <c r="P38" s="21">
        <f>37952005.53</f>
        <v>37952005.53</v>
      </c>
      <c r="Q38" s="21"/>
      <c r="R38" s="21"/>
      <c r="S38" s="21">
        <f>5477766.91</f>
        <v>5477766.91</v>
      </c>
      <c r="T38" s="21"/>
      <c r="U38" s="21"/>
      <c r="V38" s="21"/>
      <c r="W38" s="22">
        <f>32474238.62</f>
        <v>32474238.62</v>
      </c>
      <c r="X38" s="22"/>
    </row>
    <row r="39" spans="1:24" s="1" customFormat="1" ht="13.5" customHeight="1">
      <c r="A39" s="29" t="s">
        <v>85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84</v>
      </c>
      <c r="M39" s="30"/>
      <c r="N39" s="30" t="s">
        <v>86</v>
      </c>
      <c r="O39" s="30"/>
      <c r="P39" s="31">
        <f>492100</f>
        <v>492100</v>
      </c>
      <c r="Q39" s="31"/>
      <c r="R39" s="31"/>
      <c r="S39" s="31">
        <f>83519</f>
        <v>83519</v>
      </c>
      <c r="T39" s="31"/>
      <c r="U39" s="31"/>
      <c r="V39" s="31"/>
      <c r="W39" s="32">
        <f>408581</f>
        <v>408581</v>
      </c>
      <c r="X39" s="32"/>
    </row>
    <row r="40" spans="1:24" s="1" customFormat="1" ht="13.5" customHeight="1">
      <c r="A40" s="29" t="s">
        <v>87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84</v>
      </c>
      <c r="M40" s="30"/>
      <c r="N40" s="30" t="s">
        <v>88</v>
      </c>
      <c r="O40" s="30"/>
      <c r="P40" s="31">
        <f>148600</f>
        <v>148600</v>
      </c>
      <c r="Q40" s="31"/>
      <c r="R40" s="31"/>
      <c r="S40" s="31">
        <f>25222.75</f>
        <v>25222.75</v>
      </c>
      <c r="T40" s="31"/>
      <c r="U40" s="31"/>
      <c r="V40" s="31"/>
      <c r="W40" s="32">
        <f>123377.25</f>
        <v>123377.25</v>
      </c>
      <c r="X40" s="32"/>
    </row>
    <row r="41" spans="1:24" s="1" customFormat="1" ht="13.5" customHeight="1">
      <c r="A41" s="29" t="s">
        <v>85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84</v>
      </c>
      <c r="M41" s="30"/>
      <c r="N41" s="30" t="s">
        <v>89</v>
      </c>
      <c r="O41" s="30"/>
      <c r="P41" s="31">
        <f>2939400</f>
        <v>2939400</v>
      </c>
      <c r="Q41" s="31"/>
      <c r="R41" s="31"/>
      <c r="S41" s="31">
        <f>460432</f>
        <v>460432</v>
      </c>
      <c r="T41" s="31"/>
      <c r="U41" s="31"/>
      <c r="V41" s="31"/>
      <c r="W41" s="32">
        <f>2478968</f>
        <v>2478968</v>
      </c>
      <c r="X41" s="32"/>
    </row>
    <row r="42" spans="1:24" s="1" customFormat="1" ht="13.5" customHeight="1">
      <c r="A42" s="29" t="s">
        <v>87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84</v>
      </c>
      <c r="M42" s="30"/>
      <c r="N42" s="30" t="s">
        <v>90</v>
      </c>
      <c r="O42" s="30"/>
      <c r="P42" s="31">
        <f>887700</f>
        <v>887700</v>
      </c>
      <c r="Q42" s="31"/>
      <c r="R42" s="31"/>
      <c r="S42" s="31">
        <f>183154.04</f>
        <v>183154.04</v>
      </c>
      <c r="T42" s="31"/>
      <c r="U42" s="31"/>
      <c r="V42" s="31"/>
      <c r="W42" s="32">
        <f>704545.96</f>
        <v>704545.96</v>
      </c>
      <c r="X42" s="32"/>
    </row>
    <row r="43" spans="1:24" s="1" customFormat="1" ht="13.5" customHeight="1">
      <c r="A43" s="29" t="s">
        <v>91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84</v>
      </c>
      <c r="M43" s="30"/>
      <c r="N43" s="30" t="s">
        <v>92</v>
      </c>
      <c r="O43" s="30"/>
      <c r="P43" s="31">
        <f>20000</f>
        <v>20000</v>
      </c>
      <c r="Q43" s="31"/>
      <c r="R43" s="31"/>
      <c r="S43" s="31">
        <f>19800</f>
        <v>19800</v>
      </c>
      <c r="T43" s="31"/>
      <c r="U43" s="31"/>
      <c r="V43" s="31"/>
      <c r="W43" s="32">
        <f>200</f>
        <v>200</v>
      </c>
      <c r="X43" s="32"/>
    </row>
    <row r="44" spans="1:24" s="1" customFormat="1" ht="13.5" customHeight="1">
      <c r="A44" s="29" t="s">
        <v>93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84</v>
      </c>
      <c r="M44" s="30"/>
      <c r="N44" s="30" t="s">
        <v>94</v>
      </c>
      <c r="O44" s="30"/>
      <c r="P44" s="31">
        <f>60000</f>
        <v>60000</v>
      </c>
      <c r="Q44" s="31"/>
      <c r="R44" s="31"/>
      <c r="S44" s="31">
        <f>19150</f>
        <v>19150</v>
      </c>
      <c r="T44" s="31"/>
      <c r="U44" s="31"/>
      <c r="V44" s="31"/>
      <c r="W44" s="32">
        <f>40850</f>
        <v>40850</v>
      </c>
      <c r="X44" s="32"/>
    </row>
    <row r="45" spans="1:24" s="1" customFormat="1" ht="13.5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84</v>
      </c>
      <c r="M45" s="30"/>
      <c r="N45" s="30" t="s">
        <v>96</v>
      </c>
      <c r="O45" s="30"/>
      <c r="P45" s="31">
        <f>128200</f>
        <v>128200</v>
      </c>
      <c r="Q45" s="31"/>
      <c r="R45" s="31"/>
      <c r="S45" s="31">
        <f>56970</f>
        <v>56970</v>
      </c>
      <c r="T45" s="31"/>
      <c r="U45" s="31"/>
      <c r="V45" s="31"/>
      <c r="W45" s="32">
        <f>71230</f>
        <v>71230</v>
      </c>
      <c r="X45" s="32"/>
    </row>
    <row r="46" spans="1:24" s="1" customFormat="1" ht="13.5" customHeight="1">
      <c r="A46" s="29" t="s">
        <v>97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84</v>
      </c>
      <c r="M46" s="30"/>
      <c r="N46" s="30" t="s">
        <v>98</v>
      </c>
      <c r="O46" s="30"/>
      <c r="P46" s="31">
        <f>282100</f>
        <v>282100</v>
      </c>
      <c r="Q46" s="31"/>
      <c r="R46" s="31"/>
      <c r="S46" s="31">
        <f>58038</f>
        <v>58038</v>
      </c>
      <c r="T46" s="31"/>
      <c r="U46" s="31"/>
      <c r="V46" s="31"/>
      <c r="W46" s="32">
        <f>224062</f>
        <v>224062</v>
      </c>
      <c r="X46" s="32"/>
    </row>
    <row r="47" spans="1:24" s="1" customFormat="1" ht="13.5" customHeight="1">
      <c r="A47" s="29" t="s">
        <v>99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84</v>
      </c>
      <c r="M47" s="30"/>
      <c r="N47" s="30" t="s">
        <v>100</v>
      </c>
      <c r="O47" s="30"/>
      <c r="P47" s="31">
        <f>140000</f>
        <v>140000</v>
      </c>
      <c r="Q47" s="31"/>
      <c r="R47" s="31"/>
      <c r="S47" s="31">
        <f>19591</f>
        <v>19591</v>
      </c>
      <c r="T47" s="31"/>
      <c r="U47" s="31"/>
      <c r="V47" s="31"/>
      <c r="W47" s="32">
        <f>120409</f>
        <v>120409</v>
      </c>
      <c r="X47" s="32"/>
    </row>
    <row r="48" spans="1:24" s="1" customFormat="1" ht="13.5" customHeight="1">
      <c r="A48" s="29" t="s">
        <v>101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84</v>
      </c>
      <c r="M48" s="30"/>
      <c r="N48" s="30" t="s">
        <v>102</v>
      </c>
      <c r="O48" s="30"/>
      <c r="P48" s="31">
        <f>220000</f>
        <v>220000</v>
      </c>
      <c r="Q48" s="31"/>
      <c r="R48" s="31"/>
      <c r="S48" s="31">
        <f>53288.9</f>
        <v>53288.9</v>
      </c>
      <c r="T48" s="31"/>
      <c r="U48" s="31"/>
      <c r="V48" s="31"/>
      <c r="W48" s="32">
        <f>166711.1</f>
        <v>166711.1</v>
      </c>
      <c r="X48" s="32"/>
    </row>
    <row r="49" spans="1:24" s="1" customFormat="1" ht="13.5" customHeight="1">
      <c r="A49" s="29" t="s">
        <v>101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84</v>
      </c>
      <c r="M49" s="30"/>
      <c r="N49" s="30" t="s">
        <v>103</v>
      </c>
      <c r="O49" s="30"/>
      <c r="P49" s="31">
        <f>50000</f>
        <v>50000</v>
      </c>
      <c r="Q49" s="31"/>
      <c r="R49" s="31"/>
      <c r="S49" s="31">
        <f>10714.76</f>
        <v>10714.76</v>
      </c>
      <c r="T49" s="31"/>
      <c r="U49" s="31"/>
      <c r="V49" s="31"/>
      <c r="W49" s="32">
        <f>39285.24</f>
        <v>39285.24</v>
      </c>
      <c r="X49" s="32"/>
    </row>
    <row r="50" spans="1:24" s="1" customFormat="1" ht="13.5" customHeight="1">
      <c r="A50" s="29" t="s">
        <v>99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84</v>
      </c>
      <c r="M50" s="30"/>
      <c r="N50" s="30" t="s">
        <v>104</v>
      </c>
      <c r="O50" s="30"/>
      <c r="P50" s="31">
        <f>7600</f>
        <v>7600</v>
      </c>
      <c r="Q50" s="31"/>
      <c r="R50" s="31"/>
      <c r="S50" s="33" t="s">
        <v>40</v>
      </c>
      <c r="T50" s="33"/>
      <c r="U50" s="33"/>
      <c r="V50" s="33"/>
      <c r="W50" s="32">
        <f>7600</f>
        <v>7600</v>
      </c>
      <c r="X50" s="32"/>
    </row>
    <row r="51" spans="1:24" s="1" customFormat="1" ht="13.5" customHeight="1">
      <c r="A51" s="29" t="s">
        <v>105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84</v>
      </c>
      <c r="M51" s="30"/>
      <c r="N51" s="30" t="s">
        <v>106</v>
      </c>
      <c r="O51" s="30"/>
      <c r="P51" s="31">
        <f>162900</f>
        <v>162900</v>
      </c>
      <c r="Q51" s="31"/>
      <c r="R51" s="31"/>
      <c r="S51" s="33" t="s">
        <v>40</v>
      </c>
      <c r="T51" s="33"/>
      <c r="U51" s="33"/>
      <c r="V51" s="33"/>
      <c r="W51" s="32">
        <f>162900</f>
        <v>162900</v>
      </c>
      <c r="X51" s="32"/>
    </row>
    <row r="52" spans="1:24" s="1" customFormat="1" ht="13.5" customHeight="1">
      <c r="A52" s="29" t="s">
        <v>101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84</v>
      </c>
      <c r="M52" s="30"/>
      <c r="N52" s="30" t="s">
        <v>107</v>
      </c>
      <c r="O52" s="30"/>
      <c r="P52" s="31">
        <f>40000</f>
        <v>40000</v>
      </c>
      <c r="Q52" s="31"/>
      <c r="R52" s="31"/>
      <c r="S52" s="33" t="s">
        <v>40</v>
      </c>
      <c r="T52" s="33"/>
      <c r="U52" s="33"/>
      <c r="V52" s="33"/>
      <c r="W52" s="32">
        <f>40000</f>
        <v>40000</v>
      </c>
      <c r="X52" s="32"/>
    </row>
    <row r="53" spans="1:24" s="1" customFormat="1" ht="13.5" customHeight="1">
      <c r="A53" s="29" t="s">
        <v>95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84</v>
      </c>
      <c r="M53" s="30"/>
      <c r="N53" s="30" t="s">
        <v>108</v>
      </c>
      <c r="O53" s="30"/>
      <c r="P53" s="31">
        <f>72500</f>
        <v>72500</v>
      </c>
      <c r="Q53" s="31"/>
      <c r="R53" s="31"/>
      <c r="S53" s="33" t="s">
        <v>40</v>
      </c>
      <c r="T53" s="33"/>
      <c r="U53" s="33"/>
      <c r="V53" s="33"/>
      <c r="W53" s="32">
        <f>72500</f>
        <v>72500</v>
      </c>
      <c r="X53" s="32"/>
    </row>
    <row r="54" spans="1:24" s="1" customFormat="1" ht="13.5" customHeight="1">
      <c r="A54" s="29" t="s">
        <v>101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84</v>
      </c>
      <c r="M54" s="30"/>
      <c r="N54" s="30" t="s">
        <v>109</v>
      </c>
      <c r="O54" s="30"/>
      <c r="P54" s="31">
        <f>86500</f>
        <v>86500</v>
      </c>
      <c r="Q54" s="31"/>
      <c r="R54" s="31"/>
      <c r="S54" s="33" t="s">
        <v>40</v>
      </c>
      <c r="T54" s="33"/>
      <c r="U54" s="33"/>
      <c r="V54" s="33"/>
      <c r="W54" s="32">
        <f>86500</f>
        <v>86500</v>
      </c>
      <c r="X54" s="32"/>
    </row>
    <row r="55" spans="1:24" s="1" customFormat="1" ht="13.5" customHeight="1">
      <c r="A55" s="29" t="s">
        <v>95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84</v>
      </c>
      <c r="M55" s="30"/>
      <c r="N55" s="30" t="s">
        <v>110</v>
      </c>
      <c r="O55" s="30"/>
      <c r="P55" s="31">
        <f>1000</f>
        <v>1000</v>
      </c>
      <c r="Q55" s="31"/>
      <c r="R55" s="31"/>
      <c r="S55" s="33" t="s">
        <v>40</v>
      </c>
      <c r="T55" s="33"/>
      <c r="U55" s="33"/>
      <c r="V55" s="33"/>
      <c r="W55" s="32">
        <f>1000</f>
        <v>1000</v>
      </c>
      <c r="X55" s="32"/>
    </row>
    <row r="56" spans="1:24" s="1" customFormat="1" ht="13.5" customHeight="1">
      <c r="A56" s="29" t="s">
        <v>85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84</v>
      </c>
      <c r="M56" s="30"/>
      <c r="N56" s="30" t="s">
        <v>111</v>
      </c>
      <c r="O56" s="30"/>
      <c r="P56" s="31">
        <f>3343300</f>
        <v>3343300</v>
      </c>
      <c r="Q56" s="31"/>
      <c r="R56" s="31"/>
      <c r="S56" s="31">
        <f>521759.08</f>
        <v>521759.08</v>
      </c>
      <c r="T56" s="31"/>
      <c r="U56" s="31"/>
      <c r="V56" s="31"/>
      <c r="W56" s="32">
        <f>2821540.92</f>
        <v>2821540.92</v>
      </c>
      <c r="X56" s="32"/>
    </row>
    <row r="57" spans="1:24" s="1" customFormat="1" ht="13.5" customHeight="1">
      <c r="A57" s="29" t="s">
        <v>87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84</v>
      </c>
      <c r="M57" s="30"/>
      <c r="N57" s="30" t="s">
        <v>112</v>
      </c>
      <c r="O57" s="30"/>
      <c r="P57" s="31">
        <f>1009700</f>
        <v>1009700</v>
      </c>
      <c r="Q57" s="31"/>
      <c r="R57" s="31"/>
      <c r="S57" s="31">
        <f>187483.43</f>
        <v>187483.43</v>
      </c>
      <c r="T57" s="31"/>
      <c r="U57" s="31"/>
      <c r="V57" s="31"/>
      <c r="W57" s="32">
        <f>822216.57</f>
        <v>822216.57</v>
      </c>
      <c r="X57" s="32"/>
    </row>
    <row r="58" spans="1:24" s="1" customFormat="1" ht="13.5" customHeight="1">
      <c r="A58" s="29" t="s">
        <v>91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84</v>
      </c>
      <c r="M58" s="30"/>
      <c r="N58" s="30" t="s">
        <v>113</v>
      </c>
      <c r="O58" s="30"/>
      <c r="P58" s="31">
        <f>130000</f>
        <v>130000</v>
      </c>
      <c r="Q58" s="31"/>
      <c r="R58" s="31"/>
      <c r="S58" s="31">
        <f>19889.95</f>
        <v>19889.95</v>
      </c>
      <c r="T58" s="31"/>
      <c r="U58" s="31"/>
      <c r="V58" s="31"/>
      <c r="W58" s="32">
        <f>110110.05</f>
        <v>110110.05</v>
      </c>
      <c r="X58" s="32"/>
    </row>
    <row r="59" spans="1:24" s="1" customFormat="1" ht="13.5" customHeight="1">
      <c r="A59" s="29" t="s">
        <v>114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84</v>
      </c>
      <c r="M59" s="30"/>
      <c r="N59" s="30" t="s">
        <v>115</v>
      </c>
      <c r="O59" s="30"/>
      <c r="P59" s="31">
        <f>1051900</f>
        <v>1051900</v>
      </c>
      <c r="Q59" s="31"/>
      <c r="R59" s="31"/>
      <c r="S59" s="33" t="s">
        <v>40</v>
      </c>
      <c r="T59" s="33"/>
      <c r="U59" s="33"/>
      <c r="V59" s="33"/>
      <c r="W59" s="32">
        <f>1051900</f>
        <v>1051900</v>
      </c>
      <c r="X59" s="32"/>
    </row>
    <row r="60" spans="1:24" s="1" customFormat="1" ht="13.5" customHeight="1">
      <c r="A60" s="29" t="s">
        <v>93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84</v>
      </c>
      <c r="M60" s="30"/>
      <c r="N60" s="30" t="s">
        <v>116</v>
      </c>
      <c r="O60" s="30"/>
      <c r="P60" s="31">
        <f>40000</f>
        <v>40000</v>
      </c>
      <c r="Q60" s="31"/>
      <c r="R60" s="31"/>
      <c r="S60" s="33" t="s">
        <v>40</v>
      </c>
      <c r="T60" s="33"/>
      <c r="U60" s="33"/>
      <c r="V60" s="33"/>
      <c r="W60" s="32">
        <f>40000</f>
        <v>40000</v>
      </c>
      <c r="X60" s="32"/>
    </row>
    <row r="61" spans="1:24" s="1" customFormat="1" ht="13.5" customHeight="1">
      <c r="A61" s="29" t="s">
        <v>95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84</v>
      </c>
      <c r="M61" s="30"/>
      <c r="N61" s="30" t="s">
        <v>117</v>
      </c>
      <c r="O61" s="30"/>
      <c r="P61" s="31">
        <f>365000</f>
        <v>365000</v>
      </c>
      <c r="Q61" s="31"/>
      <c r="R61" s="31"/>
      <c r="S61" s="31">
        <f>83614.6</f>
        <v>83614.6</v>
      </c>
      <c r="T61" s="31"/>
      <c r="U61" s="31"/>
      <c r="V61" s="31"/>
      <c r="W61" s="32">
        <f>281385.4</f>
        <v>281385.4</v>
      </c>
      <c r="X61" s="32"/>
    </row>
    <row r="62" spans="1:24" s="1" customFormat="1" ht="13.5" customHeight="1">
      <c r="A62" s="29" t="s">
        <v>97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84</v>
      </c>
      <c r="M62" s="30"/>
      <c r="N62" s="30" t="s">
        <v>118</v>
      </c>
      <c r="O62" s="30"/>
      <c r="P62" s="31">
        <f>555000</f>
        <v>555000</v>
      </c>
      <c r="Q62" s="31"/>
      <c r="R62" s="31"/>
      <c r="S62" s="31">
        <f>34337</f>
        <v>34337</v>
      </c>
      <c r="T62" s="31"/>
      <c r="U62" s="31"/>
      <c r="V62" s="31"/>
      <c r="W62" s="32">
        <f>520663</f>
        <v>520663</v>
      </c>
      <c r="X62" s="32"/>
    </row>
    <row r="63" spans="1:24" s="1" customFormat="1" ht="13.5" customHeight="1">
      <c r="A63" s="29" t="s">
        <v>99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84</v>
      </c>
      <c r="M63" s="30"/>
      <c r="N63" s="30" t="s">
        <v>119</v>
      </c>
      <c r="O63" s="30"/>
      <c r="P63" s="31">
        <f>379600</f>
        <v>379600</v>
      </c>
      <c r="Q63" s="31"/>
      <c r="R63" s="31"/>
      <c r="S63" s="31">
        <f>112369.2</f>
        <v>112369.2</v>
      </c>
      <c r="T63" s="31"/>
      <c r="U63" s="31"/>
      <c r="V63" s="31"/>
      <c r="W63" s="32">
        <f>267230.8</f>
        <v>267230.8</v>
      </c>
      <c r="X63" s="32"/>
    </row>
    <row r="64" spans="1:24" s="1" customFormat="1" ht="13.5" customHeight="1">
      <c r="A64" s="29" t="s">
        <v>101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84</v>
      </c>
      <c r="M64" s="30"/>
      <c r="N64" s="30" t="s">
        <v>120</v>
      </c>
      <c r="O64" s="30"/>
      <c r="P64" s="31">
        <f>120000</f>
        <v>120000</v>
      </c>
      <c r="Q64" s="31"/>
      <c r="R64" s="31"/>
      <c r="S64" s="31">
        <f>19622.5</f>
        <v>19622.5</v>
      </c>
      <c r="T64" s="31"/>
      <c r="U64" s="31"/>
      <c r="V64" s="31"/>
      <c r="W64" s="32">
        <f>100377.5</f>
        <v>100377.5</v>
      </c>
      <c r="X64" s="32"/>
    </row>
    <row r="65" spans="1:24" s="1" customFormat="1" ht="13.5" customHeight="1">
      <c r="A65" s="29" t="s">
        <v>101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84</v>
      </c>
      <c r="M65" s="30"/>
      <c r="N65" s="30" t="s">
        <v>121</v>
      </c>
      <c r="O65" s="30"/>
      <c r="P65" s="31">
        <f>25000</f>
        <v>25000</v>
      </c>
      <c r="Q65" s="31"/>
      <c r="R65" s="31"/>
      <c r="S65" s="31">
        <f>9210.81</f>
        <v>9210.81</v>
      </c>
      <c r="T65" s="31"/>
      <c r="U65" s="31"/>
      <c r="V65" s="31"/>
      <c r="W65" s="32">
        <f>15789.19</f>
        <v>15789.19</v>
      </c>
      <c r="X65" s="32"/>
    </row>
    <row r="66" spans="1:24" s="1" customFormat="1" ht="13.5" customHeight="1">
      <c r="A66" s="29" t="s">
        <v>85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84</v>
      </c>
      <c r="M66" s="30"/>
      <c r="N66" s="30" t="s">
        <v>122</v>
      </c>
      <c r="O66" s="30"/>
      <c r="P66" s="31">
        <f>279000</f>
        <v>279000</v>
      </c>
      <c r="Q66" s="31"/>
      <c r="R66" s="31"/>
      <c r="S66" s="31">
        <f>46000</f>
        <v>46000</v>
      </c>
      <c r="T66" s="31"/>
      <c r="U66" s="31"/>
      <c r="V66" s="31"/>
      <c r="W66" s="32">
        <f>233000</f>
        <v>233000</v>
      </c>
      <c r="X66" s="32"/>
    </row>
    <row r="67" spans="1:24" s="1" customFormat="1" ht="13.5" customHeight="1">
      <c r="A67" s="29" t="s">
        <v>87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84</v>
      </c>
      <c r="M67" s="30"/>
      <c r="N67" s="30" t="s">
        <v>123</v>
      </c>
      <c r="O67" s="30"/>
      <c r="P67" s="31">
        <f>84300</f>
        <v>84300</v>
      </c>
      <c r="Q67" s="31"/>
      <c r="R67" s="31"/>
      <c r="S67" s="31">
        <f>13892</f>
        <v>13892</v>
      </c>
      <c r="T67" s="31"/>
      <c r="U67" s="31"/>
      <c r="V67" s="31"/>
      <c r="W67" s="32">
        <f>70408</f>
        <v>70408</v>
      </c>
      <c r="X67" s="32"/>
    </row>
    <row r="68" spans="1:24" s="1" customFormat="1" ht="13.5" customHeight="1">
      <c r="A68" s="29" t="s">
        <v>93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84</v>
      </c>
      <c r="M68" s="30"/>
      <c r="N68" s="30" t="s">
        <v>124</v>
      </c>
      <c r="O68" s="30"/>
      <c r="P68" s="31">
        <f>20000</f>
        <v>20000</v>
      </c>
      <c r="Q68" s="31"/>
      <c r="R68" s="31"/>
      <c r="S68" s="33" t="s">
        <v>40</v>
      </c>
      <c r="T68" s="33"/>
      <c r="U68" s="33"/>
      <c r="V68" s="33"/>
      <c r="W68" s="32">
        <f>20000</f>
        <v>20000</v>
      </c>
      <c r="X68" s="32"/>
    </row>
    <row r="69" spans="1:24" s="1" customFormat="1" ht="13.5" customHeight="1">
      <c r="A69" s="29" t="s">
        <v>99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84</v>
      </c>
      <c r="M69" s="30"/>
      <c r="N69" s="30" t="s">
        <v>125</v>
      </c>
      <c r="O69" s="30"/>
      <c r="P69" s="31">
        <f>4000</f>
        <v>4000</v>
      </c>
      <c r="Q69" s="31"/>
      <c r="R69" s="31"/>
      <c r="S69" s="33" t="s">
        <v>40</v>
      </c>
      <c r="T69" s="33"/>
      <c r="U69" s="33"/>
      <c r="V69" s="33"/>
      <c r="W69" s="32">
        <f>4000</f>
        <v>4000</v>
      </c>
      <c r="X69" s="32"/>
    </row>
    <row r="70" spans="1:24" s="1" customFormat="1" ht="13.5" customHeight="1">
      <c r="A70" s="29" t="s">
        <v>95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84</v>
      </c>
      <c r="M70" s="30"/>
      <c r="N70" s="30" t="s">
        <v>126</v>
      </c>
      <c r="O70" s="30"/>
      <c r="P70" s="31">
        <f>5000</f>
        <v>5000</v>
      </c>
      <c r="Q70" s="31"/>
      <c r="R70" s="31"/>
      <c r="S70" s="33" t="s">
        <v>40</v>
      </c>
      <c r="T70" s="33"/>
      <c r="U70" s="33"/>
      <c r="V70" s="33"/>
      <c r="W70" s="32">
        <f>5000</f>
        <v>5000</v>
      </c>
      <c r="X70" s="32"/>
    </row>
    <row r="71" spans="1:24" s="1" customFormat="1" ht="13.5" customHeight="1">
      <c r="A71" s="29" t="s">
        <v>95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84</v>
      </c>
      <c r="M71" s="30"/>
      <c r="N71" s="30" t="s">
        <v>127</v>
      </c>
      <c r="O71" s="30"/>
      <c r="P71" s="31">
        <f>1000</f>
        <v>1000</v>
      </c>
      <c r="Q71" s="31"/>
      <c r="R71" s="31"/>
      <c r="S71" s="33" t="s">
        <v>40</v>
      </c>
      <c r="T71" s="33"/>
      <c r="U71" s="33"/>
      <c r="V71" s="33"/>
      <c r="W71" s="32">
        <f>1000</f>
        <v>1000</v>
      </c>
      <c r="X71" s="32"/>
    </row>
    <row r="72" spans="1:24" s="1" customFormat="1" ht="13.5" customHeight="1">
      <c r="A72" s="29" t="s">
        <v>99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84</v>
      </c>
      <c r="M72" s="30"/>
      <c r="N72" s="30" t="s">
        <v>128</v>
      </c>
      <c r="O72" s="30"/>
      <c r="P72" s="31">
        <f>4000</f>
        <v>4000</v>
      </c>
      <c r="Q72" s="31"/>
      <c r="R72" s="31"/>
      <c r="S72" s="33" t="s">
        <v>40</v>
      </c>
      <c r="T72" s="33"/>
      <c r="U72" s="33"/>
      <c r="V72" s="33"/>
      <c r="W72" s="32">
        <f>4000</f>
        <v>4000</v>
      </c>
      <c r="X72" s="32"/>
    </row>
    <row r="73" spans="1:24" s="1" customFormat="1" ht="13.5" customHeight="1">
      <c r="A73" s="29" t="s">
        <v>99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84</v>
      </c>
      <c r="M73" s="30"/>
      <c r="N73" s="30" t="s">
        <v>129</v>
      </c>
      <c r="O73" s="30"/>
      <c r="P73" s="31">
        <f>1000</f>
        <v>1000</v>
      </c>
      <c r="Q73" s="31"/>
      <c r="R73" s="31"/>
      <c r="S73" s="33" t="s">
        <v>40</v>
      </c>
      <c r="T73" s="33"/>
      <c r="U73" s="33"/>
      <c r="V73" s="33"/>
      <c r="W73" s="32">
        <f>1000</f>
        <v>1000</v>
      </c>
      <c r="X73" s="32"/>
    </row>
    <row r="74" spans="1:24" s="1" customFormat="1" ht="13.5" customHeight="1">
      <c r="A74" s="29" t="s">
        <v>95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84</v>
      </c>
      <c r="M74" s="30"/>
      <c r="N74" s="30" t="s">
        <v>130</v>
      </c>
      <c r="O74" s="30"/>
      <c r="P74" s="31">
        <f>5000</f>
        <v>5000</v>
      </c>
      <c r="Q74" s="31"/>
      <c r="R74" s="31"/>
      <c r="S74" s="33" t="s">
        <v>40</v>
      </c>
      <c r="T74" s="33"/>
      <c r="U74" s="33"/>
      <c r="V74" s="33"/>
      <c r="W74" s="32">
        <f>5000</f>
        <v>5000</v>
      </c>
      <c r="X74" s="32"/>
    </row>
    <row r="75" spans="1:24" s="1" customFormat="1" ht="13.5" customHeight="1">
      <c r="A75" s="29" t="s">
        <v>105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84</v>
      </c>
      <c r="M75" s="30"/>
      <c r="N75" s="30" t="s">
        <v>131</v>
      </c>
      <c r="O75" s="30"/>
      <c r="P75" s="31">
        <f>2016500</f>
        <v>2016500</v>
      </c>
      <c r="Q75" s="31"/>
      <c r="R75" s="31"/>
      <c r="S75" s="33" t="s">
        <v>40</v>
      </c>
      <c r="T75" s="33"/>
      <c r="U75" s="33"/>
      <c r="V75" s="33"/>
      <c r="W75" s="32">
        <f>2016500</f>
        <v>2016500</v>
      </c>
      <c r="X75" s="32"/>
    </row>
    <row r="76" spans="1:24" s="1" customFormat="1" ht="13.5" customHeight="1">
      <c r="A76" s="29" t="s">
        <v>95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84</v>
      </c>
      <c r="M76" s="30"/>
      <c r="N76" s="30" t="s">
        <v>132</v>
      </c>
      <c r="O76" s="30"/>
      <c r="P76" s="31">
        <f>3000</f>
        <v>3000</v>
      </c>
      <c r="Q76" s="31"/>
      <c r="R76" s="31"/>
      <c r="S76" s="33" t="s">
        <v>40</v>
      </c>
      <c r="T76" s="33"/>
      <c r="U76" s="33"/>
      <c r="V76" s="33"/>
      <c r="W76" s="32">
        <f>3000</f>
        <v>3000</v>
      </c>
      <c r="X76" s="32"/>
    </row>
    <row r="77" spans="1:24" s="1" customFormat="1" ht="13.5" customHeight="1">
      <c r="A77" s="29" t="s">
        <v>95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84</v>
      </c>
      <c r="M77" s="30"/>
      <c r="N77" s="30" t="s">
        <v>133</v>
      </c>
      <c r="O77" s="30"/>
      <c r="P77" s="31">
        <f>4000</f>
        <v>4000</v>
      </c>
      <c r="Q77" s="31"/>
      <c r="R77" s="31"/>
      <c r="S77" s="33" t="s">
        <v>40</v>
      </c>
      <c r="T77" s="33"/>
      <c r="U77" s="33"/>
      <c r="V77" s="33"/>
      <c r="W77" s="32">
        <f>4000</f>
        <v>4000</v>
      </c>
      <c r="X77" s="32"/>
    </row>
    <row r="78" spans="1:24" s="1" customFormat="1" ht="13.5" customHeight="1">
      <c r="A78" s="29" t="s">
        <v>93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84</v>
      </c>
      <c r="M78" s="30"/>
      <c r="N78" s="30" t="s">
        <v>134</v>
      </c>
      <c r="O78" s="30"/>
      <c r="P78" s="31">
        <f>43000</f>
        <v>43000</v>
      </c>
      <c r="Q78" s="31"/>
      <c r="R78" s="31"/>
      <c r="S78" s="33" t="s">
        <v>40</v>
      </c>
      <c r="T78" s="33"/>
      <c r="U78" s="33"/>
      <c r="V78" s="33"/>
      <c r="W78" s="32">
        <f>43000</f>
        <v>43000</v>
      </c>
      <c r="X78" s="32"/>
    </row>
    <row r="79" spans="1:24" s="1" customFormat="1" ht="13.5" customHeight="1">
      <c r="A79" s="29" t="s">
        <v>93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84</v>
      </c>
      <c r="M79" s="30"/>
      <c r="N79" s="30" t="s">
        <v>135</v>
      </c>
      <c r="O79" s="30"/>
      <c r="P79" s="31">
        <f>1000000</f>
        <v>1000000</v>
      </c>
      <c r="Q79" s="31"/>
      <c r="R79" s="31"/>
      <c r="S79" s="33" t="s">
        <v>40</v>
      </c>
      <c r="T79" s="33"/>
      <c r="U79" s="33"/>
      <c r="V79" s="33"/>
      <c r="W79" s="32">
        <f>1000000</f>
        <v>1000000</v>
      </c>
      <c r="X79" s="32"/>
    </row>
    <row r="80" spans="1:24" s="1" customFormat="1" ht="13.5" customHeight="1">
      <c r="A80" s="29" t="s">
        <v>93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84</v>
      </c>
      <c r="M80" s="30"/>
      <c r="N80" s="30" t="s">
        <v>136</v>
      </c>
      <c r="O80" s="30"/>
      <c r="P80" s="31">
        <f>1000000</f>
        <v>1000000</v>
      </c>
      <c r="Q80" s="31"/>
      <c r="R80" s="31"/>
      <c r="S80" s="33" t="s">
        <v>40</v>
      </c>
      <c r="T80" s="33"/>
      <c r="U80" s="33"/>
      <c r="V80" s="33"/>
      <c r="W80" s="32">
        <f>1000000</f>
        <v>1000000</v>
      </c>
      <c r="X80" s="32"/>
    </row>
    <row r="81" spans="1:24" s="1" customFormat="1" ht="13.5" customHeight="1">
      <c r="A81" s="29" t="s">
        <v>99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84</v>
      </c>
      <c r="M81" s="30"/>
      <c r="N81" s="30" t="s">
        <v>137</v>
      </c>
      <c r="O81" s="30"/>
      <c r="P81" s="31">
        <f>1337800</f>
        <v>1337800</v>
      </c>
      <c r="Q81" s="31"/>
      <c r="R81" s="31"/>
      <c r="S81" s="33" t="s">
        <v>40</v>
      </c>
      <c r="T81" s="33"/>
      <c r="U81" s="33"/>
      <c r="V81" s="33"/>
      <c r="W81" s="32">
        <f>1337800</f>
        <v>1337800</v>
      </c>
      <c r="X81" s="32"/>
    </row>
    <row r="82" spans="1:24" s="1" customFormat="1" ht="13.5" customHeight="1">
      <c r="A82" s="29" t="s">
        <v>93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84</v>
      </c>
      <c r="M82" s="30"/>
      <c r="N82" s="30" t="s">
        <v>138</v>
      </c>
      <c r="O82" s="30"/>
      <c r="P82" s="31">
        <f>1100000</f>
        <v>1100000</v>
      </c>
      <c r="Q82" s="31"/>
      <c r="R82" s="31"/>
      <c r="S82" s="33" t="s">
        <v>40</v>
      </c>
      <c r="T82" s="33"/>
      <c r="U82" s="33"/>
      <c r="V82" s="33"/>
      <c r="W82" s="32">
        <f>1100000</f>
        <v>1100000</v>
      </c>
      <c r="X82" s="32"/>
    </row>
    <row r="83" spans="1:24" s="1" customFormat="1" ht="13.5" customHeight="1">
      <c r="A83" s="29" t="s">
        <v>93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84</v>
      </c>
      <c r="M83" s="30"/>
      <c r="N83" s="30" t="s">
        <v>139</v>
      </c>
      <c r="O83" s="30"/>
      <c r="P83" s="31">
        <f>700000</f>
        <v>700000</v>
      </c>
      <c r="Q83" s="31"/>
      <c r="R83" s="31"/>
      <c r="S83" s="33" t="s">
        <v>40</v>
      </c>
      <c r="T83" s="33"/>
      <c r="U83" s="33"/>
      <c r="V83" s="33"/>
      <c r="W83" s="32">
        <f>700000</f>
        <v>700000</v>
      </c>
      <c r="X83" s="32"/>
    </row>
    <row r="84" spans="1:24" s="1" customFormat="1" ht="13.5" customHeight="1">
      <c r="A84" s="29" t="s">
        <v>101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84</v>
      </c>
      <c r="M84" s="30"/>
      <c r="N84" s="30" t="s">
        <v>140</v>
      </c>
      <c r="O84" s="30"/>
      <c r="P84" s="31">
        <f>300000</f>
        <v>300000</v>
      </c>
      <c r="Q84" s="31"/>
      <c r="R84" s="31"/>
      <c r="S84" s="31">
        <f>300000</f>
        <v>300000</v>
      </c>
      <c r="T84" s="31"/>
      <c r="U84" s="31"/>
      <c r="V84" s="31"/>
      <c r="W84" s="32">
        <f>0</f>
        <v>0</v>
      </c>
      <c r="X84" s="32"/>
    </row>
    <row r="85" spans="1:24" s="1" customFormat="1" ht="13.5" customHeight="1">
      <c r="A85" s="29" t="s">
        <v>99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84</v>
      </c>
      <c r="M85" s="30"/>
      <c r="N85" s="30" t="s">
        <v>141</v>
      </c>
      <c r="O85" s="30"/>
      <c r="P85" s="31">
        <f>2000</f>
        <v>2000</v>
      </c>
      <c r="Q85" s="31"/>
      <c r="R85" s="31"/>
      <c r="S85" s="33" t="s">
        <v>40</v>
      </c>
      <c r="T85" s="33"/>
      <c r="U85" s="33"/>
      <c r="V85" s="33"/>
      <c r="W85" s="32">
        <f>2000</f>
        <v>2000</v>
      </c>
      <c r="X85" s="32"/>
    </row>
    <row r="86" spans="1:24" s="1" customFormat="1" ht="13.5" customHeight="1">
      <c r="A86" s="29" t="s">
        <v>95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84</v>
      </c>
      <c r="M86" s="30"/>
      <c r="N86" s="30" t="s">
        <v>142</v>
      </c>
      <c r="O86" s="30"/>
      <c r="P86" s="31">
        <f>800000</f>
        <v>800000</v>
      </c>
      <c r="Q86" s="31"/>
      <c r="R86" s="31"/>
      <c r="S86" s="33" t="s">
        <v>40</v>
      </c>
      <c r="T86" s="33"/>
      <c r="U86" s="33"/>
      <c r="V86" s="33"/>
      <c r="W86" s="32">
        <f>800000</f>
        <v>800000</v>
      </c>
      <c r="X86" s="32"/>
    </row>
    <row r="87" spans="1:24" s="1" customFormat="1" ht="13.5" customHeight="1">
      <c r="A87" s="29" t="s">
        <v>99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84</v>
      </c>
      <c r="M87" s="30"/>
      <c r="N87" s="30" t="s">
        <v>143</v>
      </c>
      <c r="O87" s="30"/>
      <c r="P87" s="31">
        <f>10000</f>
        <v>10000</v>
      </c>
      <c r="Q87" s="31"/>
      <c r="R87" s="31"/>
      <c r="S87" s="33" t="s">
        <v>40</v>
      </c>
      <c r="T87" s="33"/>
      <c r="U87" s="33"/>
      <c r="V87" s="33"/>
      <c r="W87" s="32">
        <f>10000</f>
        <v>10000</v>
      </c>
      <c r="X87" s="32"/>
    </row>
    <row r="88" spans="1:24" s="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84</v>
      </c>
      <c r="M88" s="30"/>
      <c r="N88" s="30" t="s">
        <v>144</v>
      </c>
      <c r="O88" s="30"/>
      <c r="P88" s="31">
        <f>250000</f>
        <v>250000</v>
      </c>
      <c r="Q88" s="31"/>
      <c r="R88" s="31"/>
      <c r="S88" s="33" t="s">
        <v>40</v>
      </c>
      <c r="T88" s="33"/>
      <c r="U88" s="33"/>
      <c r="V88" s="33"/>
      <c r="W88" s="32">
        <f>250000</f>
        <v>250000</v>
      </c>
      <c r="X88" s="32"/>
    </row>
    <row r="89" spans="1:24" s="1" customFormat="1" ht="13.5" customHeight="1">
      <c r="A89" s="29" t="s">
        <v>97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84</v>
      </c>
      <c r="M89" s="30"/>
      <c r="N89" s="30" t="s">
        <v>145</v>
      </c>
      <c r="O89" s="30"/>
      <c r="P89" s="31">
        <f>983400</f>
        <v>983400</v>
      </c>
      <c r="Q89" s="31"/>
      <c r="R89" s="31"/>
      <c r="S89" s="33" t="s">
        <v>40</v>
      </c>
      <c r="T89" s="33"/>
      <c r="U89" s="33"/>
      <c r="V89" s="33"/>
      <c r="W89" s="32">
        <f>983400</f>
        <v>983400</v>
      </c>
      <c r="X89" s="32"/>
    </row>
    <row r="90" spans="1:24" s="1" customFormat="1" ht="13.5" customHeight="1">
      <c r="A90" s="29" t="s">
        <v>101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84</v>
      </c>
      <c r="M90" s="30"/>
      <c r="N90" s="30" t="s">
        <v>146</v>
      </c>
      <c r="O90" s="30"/>
      <c r="P90" s="31">
        <f>16600</f>
        <v>16600</v>
      </c>
      <c r="Q90" s="31"/>
      <c r="R90" s="31"/>
      <c r="S90" s="31">
        <f>6000</f>
        <v>6000</v>
      </c>
      <c r="T90" s="31"/>
      <c r="U90" s="31"/>
      <c r="V90" s="31"/>
      <c r="W90" s="32">
        <f>10600</f>
        <v>10600</v>
      </c>
      <c r="X90" s="32"/>
    </row>
    <row r="91" spans="1:24" s="1" customFormat="1" ht="13.5" customHeight="1">
      <c r="A91" s="29" t="s">
        <v>93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84</v>
      </c>
      <c r="M91" s="30"/>
      <c r="N91" s="30" t="s">
        <v>147</v>
      </c>
      <c r="O91" s="30"/>
      <c r="P91" s="31">
        <f>500000</f>
        <v>500000</v>
      </c>
      <c r="Q91" s="31"/>
      <c r="R91" s="31"/>
      <c r="S91" s="33" t="s">
        <v>40</v>
      </c>
      <c r="T91" s="33"/>
      <c r="U91" s="33"/>
      <c r="V91" s="33"/>
      <c r="W91" s="32">
        <f>500000</f>
        <v>500000</v>
      </c>
      <c r="X91" s="32"/>
    </row>
    <row r="92" spans="1:24" s="1" customFormat="1" ht="13.5" customHeight="1">
      <c r="A92" s="29" t="s">
        <v>114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84</v>
      </c>
      <c r="M92" s="30"/>
      <c r="N92" s="30" t="s">
        <v>148</v>
      </c>
      <c r="O92" s="30"/>
      <c r="P92" s="31">
        <f>1050000</f>
        <v>1050000</v>
      </c>
      <c r="Q92" s="31"/>
      <c r="R92" s="31"/>
      <c r="S92" s="31">
        <f>157615.99</f>
        <v>157615.99</v>
      </c>
      <c r="T92" s="31"/>
      <c r="U92" s="31"/>
      <c r="V92" s="31"/>
      <c r="W92" s="32">
        <f>892384.01</f>
        <v>892384.01</v>
      </c>
      <c r="X92" s="32"/>
    </row>
    <row r="93" spans="1:24" s="1" customFormat="1" ht="13.5" customHeight="1">
      <c r="A93" s="29" t="s">
        <v>93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84</v>
      </c>
      <c r="M93" s="30"/>
      <c r="N93" s="30" t="s">
        <v>149</v>
      </c>
      <c r="O93" s="30"/>
      <c r="P93" s="31">
        <f>400000</f>
        <v>400000</v>
      </c>
      <c r="Q93" s="31"/>
      <c r="R93" s="31"/>
      <c r="S93" s="33" t="s">
        <v>40</v>
      </c>
      <c r="T93" s="33"/>
      <c r="U93" s="33"/>
      <c r="V93" s="33"/>
      <c r="W93" s="32">
        <f>400000</f>
        <v>400000</v>
      </c>
      <c r="X93" s="32"/>
    </row>
    <row r="94" spans="1:24" s="1" customFormat="1" ht="13.5" customHeight="1">
      <c r="A94" s="29" t="s">
        <v>99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84</v>
      </c>
      <c r="M94" s="30"/>
      <c r="N94" s="30" t="s">
        <v>150</v>
      </c>
      <c r="O94" s="30"/>
      <c r="P94" s="31">
        <f>50000</f>
        <v>50000</v>
      </c>
      <c r="Q94" s="31"/>
      <c r="R94" s="31"/>
      <c r="S94" s="33" t="s">
        <v>40</v>
      </c>
      <c r="T94" s="33"/>
      <c r="U94" s="33"/>
      <c r="V94" s="33"/>
      <c r="W94" s="32">
        <f>50000</f>
        <v>50000</v>
      </c>
      <c r="X94" s="32"/>
    </row>
    <row r="95" spans="1:24" s="1" customFormat="1" ht="13.5" customHeight="1">
      <c r="A95" s="29" t="s">
        <v>93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84</v>
      </c>
      <c r="M95" s="30"/>
      <c r="N95" s="30" t="s">
        <v>151</v>
      </c>
      <c r="O95" s="30"/>
      <c r="P95" s="31">
        <f>400000</f>
        <v>400000</v>
      </c>
      <c r="Q95" s="31"/>
      <c r="R95" s="31"/>
      <c r="S95" s="31">
        <f>139090.65</f>
        <v>139090.65</v>
      </c>
      <c r="T95" s="31"/>
      <c r="U95" s="31"/>
      <c r="V95" s="31"/>
      <c r="W95" s="32">
        <f>260909.35</f>
        <v>260909.35</v>
      </c>
      <c r="X95" s="32"/>
    </row>
    <row r="96" spans="1:24" s="1" customFormat="1" ht="13.5" customHeight="1">
      <c r="A96" s="29" t="s">
        <v>99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84</v>
      </c>
      <c r="M96" s="30"/>
      <c r="N96" s="30" t="s">
        <v>152</v>
      </c>
      <c r="O96" s="30"/>
      <c r="P96" s="31">
        <f>100000</f>
        <v>100000</v>
      </c>
      <c r="Q96" s="31"/>
      <c r="R96" s="31"/>
      <c r="S96" s="31">
        <f>14125</f>
        <v>14125</v>
      </c>
      <c r="T96" s="31"/>
      <c r="U96" s="31"/>
      <c r="V96" s="31"/>
      <c r="W96" s="32">
        <f>85875</f>
        <v>85875</v>
      </c>
      <c r="X96" s="32"/>
    </row>
    <row r="97" spans="1:24" s="1" customFormat="1" ht="13.5" customHeight="1">
      <c r="A97" s="29" t="s">
        <v>93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84</v>
      </c>
      <c r="M97" s="30"/>
      <c r="N97" s="30" t="s">
        <v>153</v>
      </c>
      <c r="O97" s="30"/>
      <c r="P97" s="31">
        <f>1415000</f>
        <v>1415000</v>
      </c>
      <c r="Q97" s="31"/>
      <c r="R97" s="31"/>
      <c r="S97" s="31">
        <f>207838.92</f>
        <v>207838.92</v>
      </c>
      <c r="T97" s="31"/>
      <c r="U97" s="31"/>
      <c r="V97" s="31"/>
      <c r="W97" s="32">
        <f>1207161.08</f>
        <v>1207161.08</v>
      </c>
      <c r="X97" s="32"/>
    </row>
    <row r="98" spans="1:24" s="1" customFormat="1" ht="13.5" customHeight="1">
      <c r="A98" s="29" t="s">
        <v>95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84</v>
      </c>
      <c r="M98" s="30"/>
      <c r="N98" s="30" t="s">
        <v>154</v>
      </c>
      <c r="O98" s="30"/>
      <c r="P98" s="31">
        <f>100000</f>
        <v>100000</v>
      </c>
      <c r="Q98" s="31"/>
      <c r="R98" s="31"/>
      <c r="S98" s="33" t="s">
        <v>40</v>
      </c>
      <c r="T98" s="33"/>
      <c r="U98" s="33"/>
      <c r="V98" s="33"/>
      <c r="W98" s="32">
        <f>100000</f>
        <v>100000</v>
      </c>
      <c r="X98" s="32"/>
    </row>
    <row r="99" spans="1:24" s="1" customFormat="1" ht="13.5" customHeight="1">
      <c r="A99" s="29" t="s">
        <v>97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84</v>
      </c>
      <c r="M99" s="30"/>
      <c r="N99" s="30" t="s">
        <v>155</v>
      </c>
      <c r="O99" s="30"/>
      <c r="P99" s="31">
        <f>30000</f>
        <v>30000</v>
      </c>
      <c r="Q99" s="31"/>
      <c r="R99" s="31"/>
      <c r="S99" s="33" t="s">
        <v>40</v>
      </c>
      <c r="T99" s="33"/>
      <c r="U99" s="33"/>
      <c r="V99" s="33"/>
      <c r="W99" s="32">
        <f>30000</f>
        <v>30000</v>
      </c>
      <c r="X99" s="32"/>
    </row>
    <row r="100" spans="1:24" s="1" customFormat="1" ht="13.5" customHeight="1">
      <c r="A100" s="29" t="s">
        <v>99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84</v>
      </c>
      <c r="M100" s="30"/>
      <c r="N100" s="30" t="s">
        <v>156</v>
      </c>
      <c r="O100" s="30"/>
      <c r="P100" s="31">
        <f>100000</f>
        <v>100000</v>
      </c>
      <c r="Q100" s="31"/>
      <c r="R100" s="31"/>
      <c r="S100" s="33" t="s">
        <v>40</v>
      </c>
      <c r="T100" s="33"/>
      <c r="U100" s="33"/>
      <c r="V100" s="33"/>
      <c r="W100" s="32">
        <f>100000</f>
        <v>100000</v>
      </c>
      <c r="X100" s="32"/>
    </row>
    <row r="101" spans="1:24" s="1" customFormat="1" ht="13.5" customHeight="1">
      <c r="A101" s="29" t="s">
        <v>93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84</v>
      </c>
      <c r="M101" s="30"/>
      <c r="N101" s="30" t="s">
        <v>157</v>
      </c>
      <c r="O101" s="30"/>
      <c r="P101" s="31">
        <f>100000</f>
        <v>100000</v>
      </c>
      <c r="Q101" s="31"/>
      <c r="R101" s="31"/>
      <c r="S101" s="33" t="s">
        <v>40</v>
      </c>
      <c r="T101" s="33"/>
      <c r="U101" s="33"/>
      <c r="V101" s="33"/>
      <c r="W101" s="32">
        <f>100000</f>
        <v>100000</v>
      </c>
      <c r="X101" s="32"/>
    </row>
    <row r="102" spans="1:24" s="1" customFormat="1" ht="13.5" customHeight="1">
      <c r="A102" s="29" t="s">
        <v>95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84</v>
      </c>
      <c r="M102" s="30"/>
      <c r="N102" s="30" t="s">
        <v>158</v>
      </c>
      <c r="O102" s="30"/>
      <c r="P102" s="31">
        <f>26000</f>
        <v>26000</v>
      </c>
      <c r="Q102" s="31"/>
      <c r="R102" s="31"/>
      <c r="S102" s="33" t="s">
        <v>40</v>
      </c>
      <c r="T102" s="33"/>
      <c r="U102" s="33"/>
      <c r="V102" s="33"/>
      <c r="W102" s="32">
        <f>26000</f>
        <v>26000</v>
      </c>
      <c r="X102" s="32"/>
    </row>
    <row r="103" spans="1:24" s="1" customFormat="1" ht="13.5" customHeight="1">
      <c r="A103" s="29" t="s">
        <v>95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84</v>
      </c>
      <c r="M103" s="30"/>
      <c r="N103" s="30" t="s">
        <v>159</v>
      </c>
      <c r="O103" s="30"/>
      <c r="P103" s="31">
        <f>44000</f>
        <v>44000</v>
      </c>
      <c r="Q103" s="31"/>
      <c r="R103" s="31"/>
      <c r="S103" s="33" t="s">
        <v>40</v>
      </c>
      <c r="T103" s="33"/>
      <c r="U103" s="33"/>
      <c r="V103" s="33"/>
      <c r="W103" s="32">
        <f>44000</f>
        <v>44000</v>
      </c>
      <c r="X103" s="32"/>
    </row>
    <row r="104" spans="1:24" s="1" customFormat="1" ht="13.5" customHeight="1">
      <c r="A104" s="29" t="s">
        <v>93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84</v>
      </c>
      <c r="M104" s="30"/>
      <c r="N104" s="30" t="s">
        <v>160</v>
      </c>
      <c r="O104" s="30"/>
      <c r="P104" s="31">
        <f>2093600</f>
        <v>2093600</v>
      </c>
      <c r="Q104" s="31"/>
      <c r="R104" s="31"/>
      <c r="S104" s="33" t="s">
        <v>40</v>
      </c>
      <c r="T104" s="33"/>
      <c r="U104" s="33"/>
      <c r="V104" s="33"/>
      <c r="W104" s="32">
        <f>2093600</f>
        <v>2093600</v>
      </c>
      <c r="X104" s="32"/>
    </row>
    <row r="105" spans="1:24" s="1" customFormat="1" ht="13.5" customHeight="1">
      <c r="A105" s="29" t="s">
        <v>95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84</v>
      </c>
      <c r="M105" s="30"/>
      <c r="N105" s="30" t="s">
        <v>161</v>
      </c>
      <c r="O105" s="30"/>
      <c r="P105" s="31">
        <f>104300</f>
        <v>104300</v>
      </c>
      <c r="Q105" s="31"/>
      <c r="R105" s="31"/>
      <c r="S105" s="31">
        <f>104300</f>
        <v>104300</v>
      </c>
      <c r="T105" s="31"/>
      <c r="U105" s="31"/>
      <c r="V105" s="31"/>
      <c r="W105" s="32">
        <f>0</f>
        <v>0</v>
      </c>
      <c r="X105" s="32"/>
    </row>
    <row r="106" spans="1:24" s="1" customFormat="1" ht="13.5" customHeight="1">
      <c r="A106" s="29" t="s">
        <v>99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84</v>
      </c>
      <c r="M106" s="30"/>
      <c r="N106" s="30" t="s">
        <v>162</v>
      </c>
      <c r="O106" s="30"/>
      <c r="P106" s="31">
        <f>582100</f>
        <v>582100</v>
      </c>
      <c r="Q106" s="31"/>
      <c r="R106" s="31"/>
      <c r="S106" s="31">
        <f>582067.2</f>
        <v>582067.2</v>
      </c>
      <c r="T106" s="31"/>
      <c r="U106" s="31"/>
      <c r="V106" s="31"/>
      <c r="W106" s="32">
        <f>32.8</f>
        <v>32.8</v>
      </c>
      <c r="X106" s="32"/>
    </row>
    <row r="107" spans="1:24" s="1" customFormat="1" ht="13.5" customHeight="1">
      <c r="A107" s="29" t="s">
        <v>163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84</v>
      </c>
      <c r="M107" s="30"/>
      <c r="N107" s="30" t="s">
        <v>164</v>
      </c>
      <c r="O107" s="30"/>
      <c r="P107" s="31">
        <f>10000</f>
        <v>10000</v>
      </c>
      <c r="Q107" s="31"/>
      <c r="R107" s="31"/>
      <c r="S107" s="33" t="s">
        <v>40</v>
      </c>
      <c r="T107" s="33"/>
      <c r="U107" s="33"/>
      <c r="V107" s="33"/>
      <c r="W107" s="32">
        <f>10000</f>
        <v>10000</v>
      </c>
      <c r="X107" s="32"/>
    </row>
    <row r="108" spans="1:24" s="1" customFormat="1" ht="13.5" customHeight="1">
      <c r="A108" s="29" t="s">
        <v>163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84</v>
      </c>
      <c r="M108" s="30"/>
      <c r="N108" s="30" t="s">
        <v>165</v>
      </c>
      <c r="O108" s="30"/>
      <c r="P108" s="31">
        <f>100000</f>
        <v>100000</v>
      </c>
      <c r="Q108" s="31"/>
      <c r="R108" s="31"/>
      <c r="S108" s="33" t="s">
        <v>40</v>
      </c>
      <c r="T108" s="33"/>
      <c r="U108" s="33"/>
      <c r="V108" s="33"/>
      <c r="W108" s="32">
        <f>100000</f>
        <v>100000</v>
      </c>
      <c r="X108" s="32"/>
    </row>
    <row r="109" spans="1:24" s="1" customFormat="1" ht="13.5" customHeight="1">
      <c r="A109" s="29" t="s">
        <v>163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84</v>
      </c>
      <c r="M109" s="30"/>
      <c r="N109" s="30" t="s">
        <v>166</v>
      </c>
      <c r="O109" s="30"/>
      <c r="P109" s="31">
        <f>93800</f>
        <v>93800</v>
      </c>
      <c r="Q109" s="31"/>
      <c r="R109" s="31"/>
      <c r="S109" s="33" t="s">
        <v>40</v>
      </c>
      <c r="T109" s="33"/>
      <c r="U109" s="33"/>
      <c r="V109" s="33"/>
      <c r="W109" s="32">
        <f>93800</f>
        <v>93800</v>
      </c>
      <c r="X109" s="32"/>
    </row>
    <row r="110" spans="1:24" s="1" customFormat="1" ht="13.5" customHeight="1">
      <c r="A110" s="29" t="s">
        <v>163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84</v>
      </c>
      <c r="M110" s="30"/>
      <c r="N110" s="30" t="s">
        <v>167</v>
      </c>
      <c r="O110" s="30"/>
      <c r="P110" s="31">
        <f>5711000</f>
        <v>5711000</v>
      </c>
      <c r="Q110" s="31"/>
      <c r="R110" s="31"/>
      <c r="S110" s="31">
        <f>1427750</f>
        <v>1427750</v>
      </c>
      <c r="T110" s="31"/>
      <c r="U110" s="31"/>
      <c r="V110" s="31"/>
      <c r="W110" s="32">
        <f>4283250</f>
        <v>4283250</v>
      </c>
      <c r="X110" s="32"/>
    </row>
    <row r="111" spans="1:24" s="1" customFormat="1" ht="13.5" customHeight="1">
      <c r="A111" s="29" t="s">
        <v>163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84</v>
      </c>
      <c r="M111" s="30"/>
      <c r="N111" s="30" t="s">
        <v>168</v>
      </c>
      <c r="O111" s="30"/>
      <c r="P111" s="31">
        <f>30000</f>
        <v>30000</v>
      </c>
      <c r="Q111" s="31"/>
      <c r="R111" s="31"/>
      <c r="S111" s="33" t="s">
        <v>40</v>
      </c>
      <c r="T111" s="33"/>
      <c r="U111" s="33"/>
      <c r="V111" s="33"/>
      <c r="W111" s="32">
        <f>30000</f>
        <v>30000</v>
      </c>
      <c r="X111" s="32"/>
    </row>
    <row r="112" spans="1:24" s="1" customFormat="1" ht="13.5" customHeight="1">
      <c r="A112" s="29" t="s">
        <v>95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84</v>
      </c>
      <c r="M112" s="30"/>
      <c r="N112" s="30" t="s">
        <v>169</v>
      </c>
      <c r="O112" s="30"/>
      <c r="P112" s="31">
        <f>100000</f>
        <v>100000</v>
      </c>
      <c r="Q112" s="31"/>
      <c r="R112" s="31"/>
      <c r="S112" s="33" t="s">
        <v>40</v>
      </c>
      <c r="T112" s="33"/>
      <c r="U112" s="33"/>
      <c r="V112" s="33"/>
      <c r="W112" s="32">
        <f>100000</f>
        <v>100000</v>
      </c>
      <c r="X112" s="32"/>
    </row>
    <row r="113" spans="1:24" s="1" customFormat="1" ht="13.5" customHeight="1">
      <c r="A113" s="29" t="s">
        <v>99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84</v>
      </c>
      <c r="M113" s="30"/>
      <c r="N113" s="30" t="s">
        <v>170</v>
      </c>
      <c r="O113" s="30"/>
      <c r="P113" s="31">
        <f>100000</f>
        <v>100000</v>
      </c>
      <c r="Q113" s="31"/>
      <c r="R113" s="31"/>
      <c r="S113" s="31">
        <f>8840</f>
        <v>8840</v>
      </c>
      <c r="T113" s="31"/>
      <c r="U113" s="31"/>
      <c r="V113" s="31"/>
      <c r="W113" s="32">
        <f>91160</f>
        <v>91160</v>
      </c>
      <c r="X113" s="32"/>
    </row>
    <row r="114" spans="1:24" s="1" customFormat="1" ht="13.5" customHeight="1">
      <c r="A114" s="29" t="s">
        <v>95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84</v>
      </c>
      <c r="M114" s="30"/>
      <c r="N114" s="30" t="s">
        <v>171</v>
      </c>
      <c r="O114" s="30"/>
      <c r="P114" s="31">
        <f>100000</f>
        <v>100000</v>
      </c>
      <c r="Q114" s="31"/>
      <c r="R114" s="31"/>
      <c r="S114" s="33" t="s">
        <v>40</v>
      </c>
      <c r="T114" s="33"/>
      <c r="U114" s="33"/>
      <c r="V114" s="33"/>
      <c r="W114" s="32">
        <f>100000</f>
        <v>100000</v>
      </c>
      <c r="X114" s="32"/>
    </row>
    <row r="115" spans="1:24" s="1" customFormat="1" ht="13.5" customHeight="1">
      <c r="A115" s="29" t="s">
        <v>99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84</v>
      </c>
      <c r="M115" s="30"/>
      <c r="N115" s="30" t="s">
        <v>172</v>
      </c>
      <c r="O115" s="30"/>
      <c r="P115" s="31">
        <f>100000</f>
        <v>100000</v>
      </c>
      <c r="Q115" s="31"/>
      <c r="R115" s="31"/>
      <c r="S115" s="33" t="s">
        <v>40</v>
      </c>
      <c r="T115" s="33"/>
      <c r="U115" s="33"/>
      <c r="V115" s="33"/>
      <c r="W115" s="32">
        <f>100000</f>
        <v>100000</v>
      </c>
      <c r="X115" s="32"/>
    </row>
    <row r="116" spans="1:24" s="1" customFormat="1" ht="13.5" customHeight="1">
      <c r="A116" s="29" t="s">
        <v>99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84</v>
      </c>
      <c r="M116" s="30"/>
      <c r="N116" s="30" t="s">
        <v>173</v>
      </c>
      <c r="O116" s="30"/>
      <c r="P116" s="31">
        <f>100000</f>
        <v>100000</v>
      </c>
      <c r="Q116" s="31"/>
      <c r="R116" s="31"/>
      <c r="S116" s="33" t="s">
        <v>40</v>
      </c>
      <c r="T116" s="33"/>
      <c r="U116" s="33"/>
      <c r="V116" s="33"/>
      <c r="W116" s="32">
        <f>100000</f>
        <v>100000</v>
      </c>
      <c r="X116" s="32"/>
    </row>
    <row r="117" spans="1:24" s="1" customFormat="1" ht="13.5" customHeight="1">
      <c r="A117" s="29" t="s">
        <v>101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84</v>
      </c>
      <c r="M117" s="30"/>
      <c r="N117" s="30" t="s">
        <v>174</v>
      </c>
      <c r="O117" s="30"/>
      <c r="P117" s="31">
        <f>48400</f>
        <v>48400</v>
      </c>
      <c r="Q117" s="31"/>
      <c r="R117" s="31"/>
      <c r="S117" s="31">
        <f>48396</f>
        <v>48396</v>
      </c>
      <c r="T117" s="31"/>
      <c r="U117" s="31"/>
      <c r="V117" s="31"/>
      <c r="W117" s="32">
        <f>4</f>
        <v>4</v>
      </c>
      <c r="X117" s="32"/>
    </row>
    <row r="118" spans="1:24" s="1" customFormat="1" ht="13.5" customHeight="1">
      <c r="A118" s="29" t="s">
        <v>99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 t="s">
        <v>84</v>
      </c>
      <c r="M118" s="30"/>
      <c r="N118" s="30" t="s">
        <v>175</v>
      </c>
      <c r="O118" s="30"/>
      <c r="P118" s="31">
        <f>51600</f>
        <v>51600</v>
      </c>
      <c r="Q118" s="31"/>
      <c r="R118" s="31"/>
      <c r="S118" s="33" t="s">
        <v>40</v>
      </c>
      <c r="T118" s="33"/>
      <c r="U118" s="33"/>
      <c r="V118" s="33"/>
      <c r="W118" s="32">
        <f>51600</f>
        <v>51600</v>
      </c>
      <c r="X118" s="32"/>
    </row>
    <row r="119" spans="1:24" s="1" customFormat="1" ht="24" customHeight="1">
      <c r="A119" s="29" t="s">
        <v>176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 t="s">
        <v>84</v>
      </c>
      <c r="M119" s="30"/>
      <c r="N119" s="30" t="s">
        <v>177</v>
      </c>
      <c r="O119" s="30"/>
      <c r="P119" s="31">
        <f>108000</f>
        <v>108000</v>
      </c>
      <c r="Q119" s="31"/>
      <c r="R119" s="31"/>
      <c r="S119" s="31">
        <f>19114.13</f>
        <v>19114.13</v>
      </c>
      <c r="T119" s="31"/>
      <c r="U119" s="31"/>
      <c r="V119" s="31"/>
      <c r="W119" s="32">
        <f>88885.87</f>
        <v>88885.87</v>
      </c>
      <c r="X119" s="32"/>
    </row>
    <row r="120" spans="1:24" s="1" customFormat="1" ht="13.5" customHeight="1">
      <c r="A120" s="29" t="s">
        <v>163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84</v>
      </c>
      <c r="M120" s="30"/>
      <c r="N120" s="30" t="s">
        <v>178</v>
      </c>
      <c r="O120" s="30"/>
      <c r="P120" s="31">
        <f>1172500</f>
        <v>1172500</v>
      </c>
      <c r="Q120" s="31"/>
      <c r="R120" s="31"/>
      <c r="S120" s="31">
        <f>346000</f>
        <v>346000</v>
      </c>
      <c r="T120" s="31"/>
      <c r="U120" s="31"/>
      <c r="V120" s="31"/>
      <c r="W120" s="32">
        <f>826500</f>
        <v>826500</v>
      </c>
      <c r="X120" s="32"/>
    </row>
    <row r="121" spans="1:24" s="1" customFormat="1" ht="13.5" customHeight="1">
      <c r="A121" s="29" t="s">
        <v>95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 t="s">
        <v>84</v>
      </c>
      <c r="M121" s="30"/>
      <c r="N121" s="30" t="s">
        <v>179</v>
      </c>
      <c r="O121" s="30"/>
      <c r="P121" s="31">
        <f>150000</f>
        <v>150000</v>
      </c>
      <c r="Q121" s="31"/>
      <c r="R121" s="31"/>
      <c r="S121" s="31">
        <f>58570</f>
        <v>58570</v>
      </c>
      <c r="T121" s="31"/>
      <c r="U121" s="31"/>
      <c r="V121" s="31"/>
      <c r="W121" s="32">
        <f>91430</f>
        <v>91430</v>
      </c>
      <c r="X121" s="32"/>
    </row>
    <row r="122" spans="1:24" s="1" customFormat="1" ht="13.5" customHeight="1">
      <c r="A122" s="29" t="s">
        <v>99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84</v>
      </c>
      <c r="M122" s="30"/>
      <c r="N122" s="30" t="s">
        <v>180</v>
      </c>
      <c r="O122" s="30"/>
      <c r="P122" s="31">
        <f>150000</f>
        <v>150000</v>
      </c>
      <c r="Q122" s="31"/>
      <c r="R122" s="31"/>
      <c r="S122" s="31">
        <f>20000</f>
        <v>20000</v>
      </c>
      <c r="T122" s="31"/>
      <c r="U122" s="31"/>
      <c r="V122" s="31"/>
      <c r="W122" s="32">
        <f>130000</f>
        <v>130000</v>
      </c>
      <c r="X122" s="32"/>
    </row>
    <row r="123" spans="1:24" s="1" customFormat="1" ht="13.5" customHeight="1">
      <c r="A123" s="29" t="s">
        <v>181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84</v>
      </c>
      <c r="M123" s="30"/>
      <c r="N123" s="30" t="s">
        <v>182</v>
      </c>
      <c r="O123" s="30"/>
      <c r="P123" s="31">
        <f>4005.53</f>
        <v>4005.53</v>
      </c>
      <c r="Q123" s="31"/>
      <c r="R123" s="31"/>
      <c r="S123" s="33" t="s">
        <v>40</v>
      </c>
      <c r="T123" s="33"/>
      <c r="U123" s="33"/>
      <c r="V123" s="33"/>
      <c r="W123" s="32">
        <f>4005.53</f>
        <v>4005.53</v>
      </c>
      <c r="X123" s="32"/>
    </row>
    <row r="124" spans="1:24" s="1" customFormat="1" ht="15" customHeight="1">
      <c r="A124" s="34" t="s">
        <v>183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5" t="s">
        <v>184</v>
      </c>
      <c r="M124" s="35"/>
      <c r="N124" s="35" t="s">
        <v>37</v>
      </c>
      <c r="O124" s="35"/>
      <c r="P124" s="36">
        <f>-8824305.53</f>
        <v>-8824305.53</v>
      </c>
      <c r="Q124" s="36"/>
      <c r="R124" s="36"/>
      <c r="S124" s="36">
        <f>790931.98</f>
        <v>790931.98</v>
      </c>
      <c r="T124" s="36"/>
      <c r="U124" s="36"/>
      <c r="V124" s="36"/>
      <c r="W124" s="37" t="s">
        <v>37</v>
      </c>
      <c r="X124" s="37"/>
    </row>
    <row r="125" spans="1:24" s="1" customFormat="1" ht="13.5" customHeight="1">
      <c r="A125" s="7" t="s">
        <v>17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s="1" customFormat="1" ht="13.5" customHeight="1">
      <c r="A126" s="12" t="s">
        <v>185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s="1" customFormat="1" ht="45.75" customHeight="1">
      <c r="A127" s="13" t="s">
        <v>23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 t="s">
        <v>24</v>
      </c>
      <c r="M127" s="13"/>
      <c r="N127" s="13" t="s">
        <v>186</v>
      </c>
      <c r="O127" s="13"/>
      <c r="P127" s="14" t="s">
        <v>26</v>
      </c>
      <c r="Q127" s="14"/>
      <c r="R127" s="14"/>
      <c r="S127" s="14" t="s">
        <v>27</v>
      </c>
      <c r="T127" s="14"/>
      <c r="U127" s="14"/>
      <c r="V127" s="14"/>
      <c r="W127" s="15" t="s">
        <v>28</v>
      </c>
      <c r="X127" s="15"/>
    </row>
    <row r="128" spans="1:24" s="1" customFormat="1" ht="12.75" customHeight="1">
      <c r="A128" s="16" t="s">
        <v>29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 t="s">
        <v>30</v>
      </c>
      <c r="M128" s="16"/>
      <c r="N128" s="16" t="s">
        <v>31</v>
      </c>
      <c r="O128" s="16"/>
      <c r="P128" s="17" t="s">
        <v>32</v>
      </c>
      <c r="Q128" s="17"/>
      <c r="R128" s="17"/>
      <c r="S128" s="17" t="s">
        <v>33</v>
      </c>
      <c r="T128" s="17"/>
      <c r="U128" s="17"/>
      <c r="V128" s="17"/>
      <c r="W128" s="18" t="s">
        <v>34</v>
      </c>
      <c r="X128" s="18"/>
    </row>
    <row r="129" spans="1:24" s="1" customFormat="1" ht="13.5" customHeight="1">
      <c r="A129" s="19" t="s">
        <v>187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20" t="s">
        <v>188</v>
      </c>
      <c r="M129" s="20"/>
      <c r="N129" s="20" t="s">
        <v>37</v>
      </c>
      <c r="O129" s="20"/>
      <c r="P129" s="38">
        <f>8824305.53</f>
        <v>8824305.53</v>
      </c>
      <c r="Q129" s="38"/>
      <c r="R129" s="38"/>
      <c r="S129" s="21">
        <f>-790931.98</f>
        <v>-790931.98</v>
      </c>
      <c r="T129" s="21"/>
      <c r="U129" s="21"/>
      <c r="V129" s="21"/>
      <c r="W129" s="39">
        <f>9615237.51</f>
        <v>9615237.51</v>
      </c>
      <c r="X129" s="39"/>
    </row>
    <row r="130" spans="1:24" s="1" customFormat="1" ht="13.5" customHeight="1">
      <c r="A130" s="40" t="s">
        <v>189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1" t="s">
        <v>17</v>
      </c>
      <c r="M130" s="41"/>
      <c r="N130" s="41" t="s">
        <v>17</v>
      </c>
      <c r="O130" s="41"/>
      <c r="P130" s="42" t="s">
        <v>17</v>
      </c>
      <c r="Q130" s="42"/>
      <c r="R130" s="42"/>
      <c r="S130" s="43" t="s">
        <v>17</v>
      </c>
      <c r="T130" s="43"/>
      <c r="U130" s="43"/>
      <c r="V130" s="43"/>
      <c r="W130" s="44" t="s">
        <v>17</v>
      </c>
      <c r="X130" s="44"/>
    </row>
    <row r="131" spans="1:24" s="1" customFormat="1" ht="13.5" customHeight="1">
      <c r="A131" s="23" t="s">
        <v>190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45" t="s">
        <v>191</v>
      </c>
      <c r="M131" s="45"/>
      <c r="N131" s="24" t="s">
        <v>37</v>
      </c>
      <c r="O131" s="24"/>
      <c r="P131" s="46">
        <f>3834000</f>
        <v>3834000</v>
      </c>
      <c r="Q131" s="46"/>
      <c r="R131" s="46"/>
      <c r="S131" s="25" t="s">
        <v>40</v>
      </c>
      <c r="T131" s="25"/>
      <c r="U131" s="25"/>
      <c r="V131" s="25"/>
      <c r="W131" s="47">
        <f>3834000</f>
        <v>3834000</v>
      </c>
      <c r="X131" s="47"/>
    </row>
    <row r="132" spans="1:24" s="1" customFormat="1" ht="24" customHeight="1">
      <c r="A132" s="29" t="s">
        <v>192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 t="s">
        <v>191</v>
      </c>
      <c r="M132" s="30"/>
      <c r="N132" s="30" t="s">
        <v>193</v>
      </c>
      <c r="O132" s="30"/>
      <c r="P132" s="48">
        <f>3834000</f>
        <v>3834000</v>
      </c>
      <c r="Q132" s="48"/>
      <c r="R132" s="48"/>
      <c r="S132" s="33" t="s">
        <v>40</v>
      </c>
      <c r="T132" s="33"/>
      <c r="U132" s="33"/>
      <c r="V132" s="33"/>
      <c r="W132" s="49">
        <f>3834000</f>
        <v>3834000</v>
      </c>
      <c r="X132" s="49"/>
    </row>
    <row r="133" spans="1:24" s="1" customFormat="1" ht="0.75" customHeight="1">
      <c r="A133" s="50" t="s">
        <v>17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1:24" s="1" customFormat="1" ht="13.5" customHeight="1">
      <c r="A134" s="29" t="s">
        <v>194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41" t="s">
        <v>195</v>
      </c>
      <c r="M134" s="41"/>
      <c r="N134" s="41" t="s">
        <v>37</v>
      </c>
      <c r="O134" s="41"/>
      <c r="P134" s="42" t="s">
        <v>40</v>
      </c>
      <c r="Q134" s="42"/>
      <c r="R134" s="42"/>
      <c r="S134" s="33" t="s">
        <v>40</v>
      </c>
      <c r="T134" s="33"/>
      <c r="U134" s="33"/>
      <c r="V134" s="33"/>
      <c r="W134" s="44" t="s">
        <v>40</v>
      </c>
      <c r="X134" s="44"/>
    </row>
    <row r="135" spans="1:24" s="1" customFormat="1" ht="13.5" customHeight="1">
      <c r="A135" s="29" t="s">
        <v>17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30" t="s">
        <v>195</v>
      </c>
      <c r="M135" s="30"/>
      <c r="N135" s="30" t="s">
        <v>17</v>
      </c>
      <c r="O135" s="30"/>
      <c r="P135" s="51" t="s">
        <v>40</v>
      </c>
      <c r="Q135" s="51"/>
      <c r="R135" s="51"/>
      <c r="S135" s="33" t="s">
        <v>40</v>
      </c>
      <c r="T135" s="33"/>
      <c r="U135" s="33"/>
      <c r="V135" s="33"/>
      <c r="W135" s="52" t="s">
        <v>40</v>
      </c>
      <c r="X135" s="52"/>
    </row>
    <row r="136" spans="1:24" s="1" customFormat="1" ht="13.5" customHeight="1">
      <c r="A136" s="29" t="s">
        <v>196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30" t="s">
        <v>197</v>
      </c>
      <c r="M136" s="30"/>
      <c r="N136" s="30" t="s">
        <v>198</v>
      </c>
      <c r="O136" s="30"/>
      <c r="P136" s="48">
        <f>4990305.53</f>
        <v>4990305.53</v>
      </c>
      <c r="Q136" s="48"/>
      <c r="R136" s="48"/>
      <c r="S136" s="31">
        <f>-790931.98</f>
        <v>-790931.98</v>
      </c>
      <c r="T136" s="31"/>
      <c r="U136" s="31"/>
      <c r="V136" s="31"/>
      <c r="W136" s="49">
        <f>5781237.51</f>
        <v>5781237.51</v>
      </c>
      <c r="X136" s="49"/>
    </row>
    <row r="137" spans="1:24" s="1" customFormat="1" ht="13.5" customHeight="1">
      <c r="A137" s="29" t="s">
        <v>199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30" t="s">
        <v>200</v>
      </c>
      <c r="M137" s="30"/>
      <c r="N137" s="30" t="s">
        <v>201</v>
      </c>
      <c r="O137" s="30"/>
      <c r="P137" s="48">
        <f>-32961700</f>
        <v>-32961700</v>
      </c>
      <c r="Q137" s="48"/>
      <c r="R137" s="48"/>
      <c r="S137" s="31">
        <f>-6282964.67</f>
        <v>-6282964.67</v>
      </c>
      <c r="T137" s="31"/>
      <c r="U137" s="31"/>
      <c r="V137" s="31"/>
      <c r="W137" s="53" t="s">
        <v>37</v>
      </c>
      <c r="X137" s="53"/>
    </row>
    <row r="138" spans="1:24" s="1" customFormat="1" ht="13.5" customHeight="1">
      <c r="A138" s="29" t="s">
        <v>202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30" t="s">
        <v>203</v>
      </c>
      <c r="M138" s="30"/>
      <c r="N138" s="30" t="s">
        <v>204</v>
      </c>
      <c r="O138" s="30"/>
      <c r="P138" s="48">
        <f>37952005.53</f>
        <v>37952005.53</v>
      </c>
      <c r="Q138" s="48"/>
      <c r="R138" s="48"/>
      <c r="S138" s="31">
        <f>5492032.69</f>
        <v>5492032.69</v>
      </c>
      <c r="T138" s="31"/>
      <c r="U138" s="31"/>
      <c r="V138" s="31"/>
      <c r="W138" s="53" t="s">
        <v>37</v>
      </c>
      <c r="X138" s="53"/>
    </row>
    <row r="139" spans="1:24" s="1" customFormat="1" ht="13.5" customHeight="1">
      <c r="A139" s="55" t="s">
        <v>17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</row>
    <row r="140" spans="1:24" s="1" customFormat="1" ht="13.5" customHeight="1">
      <c r="A140" s="7" t="s">
        <v>17</v>
      </c>
      <c r="B140" s="7"/>
      <c r="C140" s="7"/>
      <c r="D140" s="7"/>
      <c r="E140" s="7"/>
      <c r="F140" s="7"/>
      <c r="G140" s="7"/>
      <c r="H140" s="7"/>
      <c r="I140" s="54" t="s">
        <v>17</v>
      </c>
      <c r="J140" s="54"/>
      <c r="K140" s="54"/>
      <c r="L140" s="54"/>
      <c r="M140" s="54"/>
      <c r="N140" s="54" t="s">
        <v>205</v>
      </c>
      <c r="O140" s="54"/>
      <c r="P140" s="54"/>
      <c r="Q140" s="54"/>
      <c r="R140" s="7" t="s">
        <v>17</v>
      </c>
      <c r="S140" s="7"/>
      <c r="T140" s="7"/>
      <c r="U140" s="7"/>
      <c r="V140" s="7"/>
      <c r="W140" s="7"/>
      <c r="X140" s="7"/>
    </row>
    <row r="141" spans="1:24" s="1" customFormat="1" ht="13.5" customHeight="1">
      <c r="A141" s="7" t="s">
        <v>17</v>
      </c>
      <c r="B141" s="7"/>
      <c r="C141" s="7"/>
      <c r="D141" s="7"/>
      <c r="E141" s="7"/>
      <c r="F141" s="7"/>
      <c r="G141" s="7"/>
      <c r="H141" s="7"/>
      <c r="I141" s="10" t="s">
        <v>17</v>
      </c>
      <c r="J141" s="56" t="s">
        <v>206</v>
      </c>
      <c r="K141" s="56"/>
      <c r="L141" s="56"/>
      <c r="M141" s="10" t="s">
        <v>17</v>
      </c>
      <c r="N141" s="10" t="s">
        <v>17</v>
      </c>
      <c r="O141" s="56" t="s">
        <v>207</v>
      </c>
      <c r="P141" s="56"/>
      <c r="Q141" s="7" t="s">
        <v>17</v>
      </c>
      <c r="R141" s="7"/>
      <c r="S141" s="7"/>
      <c r="T141" s="7"/>
      <c r="U141" s="7"/>
      <c r="V141" s="7"/>
      <c r="W141" s="7"/>
      <c r="X141" s="7"/>
    </row>
    <row r="142" spans="1:24" s="1" customFormat="1" ht="7.5" customHeight="1">
      <c r="A142" s="7" t="s">
        <v>17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s="1" customFormat="1" ht="13.5" customHeight="1">
      <c r="A143" s="7" t="s">
        <v>17</v>
      </c>
      <c r="B143" s="7"/>
      <c r="C143" s="7"/>
      <c r="D143" s="7"/>
      <c r="E143" s="7"/>
      <c r="F143" s="7"/>
      <c r="G143" s="7"/>
      <c r="H143" s="7"/>
      <c r="I143" s="54" t="s">
        <v>17</v>
      </c>
      <c r="J143" s="54"/>
      <c r="K143" s="54"/>
      <c r="L143" s="54"/>
      <c r="M143" s="54"/>
      <c r="N143" s="54" t="s">
        <v>208</v>
      </c>
      <c r="O143" s="54"/>
      <c r="P143" s="54"/>
      <c r="Q143" s="54"/>
      <c r="R143" s="7" t="s">
        <v>17</v>
      </c>
      <c r="S143" s="7"/>
      <c r="T143" s="7"/>
      <c r="U143" s="7"/>
      <c r="V143" s="7"/>
      <c r="W143" s="7"/>
      <c r="X143" s="7"/>
    </row>
    <row r="144" spans="1:24" s="1" customFormat="1" ht="13.5" customHeight="1">
      <c r="A144" s="7" t="s">
        <v>17</v>
      </c>
      <c r="B144" s="7"/>
      <c r="C144" s="7"/>
      <c r="D144" s="7"/>
      <c r="E144" s="7"/>
      <c r="F144" s="7"/>
      <c r="G144" s="7"/>
      <c r="H144" s="7"/>
      <c r="I144" s="10" t="s">
        <v>17</v>
      </c>
      <c r="J144" s="56" t="s">
        <v>206</v>
      </c>
      <c r="K144" s="56"/>
      <c r="L144" s="56"/>
      <c r="M144" s="10" t="s">
        <v>17</v>
      </c>
      <c r="N144" s="10" t="s">
        <v>17</v>
      </c>
      <c r="O144" s="56" t="s">
        <v>207</v>
      </c>
      <c r="P144" s="56"/>
      <c r="Q144" s="7" t="s">
        <v>17</v>
      </c>
      <c r="R144" s="7"/>
      <c r="S144" s="7"/>
      <c r="T144" s="7"/>
      <c r="U144" s="7"/>
      <c r="V144" s="7"/>
      <c r="W144" s="7"/>
      <c r="X144" s="7"/>
    </row>
    <row r="145" spans="1:24" s="1" customFormat="1" ht="7.5" customHeight="1">
      <c r="A145" s="7" t="s">
        <v>17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s="1" customFormat="1" ht="13.5" customHeight="1">
      <c r="A146" s="7" t="s">
        <v>209</v>
      </c>
      <c r="B146" s="7"/>
      <c r="C146" s="54" t="s">
        <v>17</v>
      </c>
      <c r="D146" s="54"/>
      <c r="E146" s="54"/>
      <c r="F146" s="54"/>
      <c r="G146" s="54"/>
      <c r="H146" s="54"/>
      <c r="I146" s="54" t="s">
        <v>17</v>
      </c>
      <c r="J146" s="54"/>
      <c r="K146" s="54"/>
      <c r="L146" s="54"/>
      <c r="M146" s="54"/>
      <c r="N146" s="54" t="s">
        <v>210</v>
      </c>
      <c r="O146" s="54"/>
      <c r="P146" s="54"/>
      <c r="Q146" s="54"/>
      <c r="R146" s="7" t="s">
        <v>17</v>
      </c>
      <c r="S146" s="7"/>
      <c r="T146" s="7"/>
      <c r="U146" s="7"/>
      <c r="V146" s="7"/>
      <c r="W146" s="7"/>
      <c r="X146" s="7"/>
    </row>
    <row r="147" spans="1:24" s="1" customFormat="1" ht="13.5" customHeight="1">
      <c r="A147" s="7" t="s">
        <v>17</v>
      </c>
      <c r="B147" s="7"/>
      <c r="C147" s="10" t="s">
        <v>17</v>
      </c>
      <c r="D147" s="56" t="s">
        <v>211</v>
      </c>
      <c r="E147" s="56"/>
      <c r="F147" s="56"/>
      <c r="G147" s="56"/>
      <c r="H147" s="10" t="s">
        <v>17</v>
      </c>
      <c r="I147" s="10" t="s">
        <v>17</v>
      </c>
      <c r="J147" s="56" t="s">
        <v>206</v>
      </c>
      <c r="K147" s="56"/>
      <c r="L147" s="56"/>
      <c r="M147" s="10" t="s">
        <v>17</v>
      </c>
      <c r="N147" s="10" t="s">
        <v>17</v>
      </c>
      <c r="O147" s="56" t="s">
        <v>207</v>
      </c>
      <c r="P147" s="56"/>
      <c r="Q147" s="7" t="s">
        <v>17</v>
      </c>
      <c r="R147" s="7"/>
      <c r="S147" s="7"/>
      <c r="T147" s="7"/>
      <c r="U147" s="7"/>
      <c r="V147" s="7"/>
      <c r="W147" s="7"/>
      <c r="X147" s="7"/>
    </row>
    <row r="148" spans="1:24" s="1" customFormat="1" ht="15.75" customHeight="1">
      <c r="A148" s="7" t="s">
        <v>17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s="1" customFormat="1" ht="13.5" customHeight="1">
      <c r="A149" s="57" t="s">
        <v>212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7" t="s">
        <v>17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s="1" customFormat="1" ht="13.5" customHeight="1">
      <c r="A150" s="4" t="s">
        <v>213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</sheetData>
  <sheetProtection/>
  <mergeCells count="798">
    <mergeCell ref="A149:J149"/>
    <mergeCell ref="K149:X149"/>
    <mergeCell ref="A150:X150"/>
    <mergeCell ref="A147:B147"/>
    <mergeCell ref="D147:G147"/>
    <mergeCell ref="J147:L147"/>
    <mergeCell ref="O147:P147"/>
    <mergeCell ref="Q147:X147"/>
    <mergeCell ref="A148:X148"/>
    <mergeCell ref="A145:X145"/>
    <mergeCell ref="A146:B146"/>
    <mergeCell ref="C146:H146"/>
    <mergeCell ref="I146:M146"/>
    <mergeCell ref="N146:Q146"/>
    <mergeCell ref="R146:X146"/>
    <mergeCell ref="A142:X142"/>
    <mergeCell ref="A143:H143"/>
    <mergeCell ref="I143:M143"/>
    <mergeCell ref="N143:Q143"/>
    <mergeCell ref="R143:X143"/>
    <mergeCell ref="A144:H144"/>
    <mergeCell ref="J144:L144"/>
    <mergeCell ref="O144:P144"/>
    <mergeCell ref="Q144:X144"/>
    <mergeCell ref="A139:X139"/>
    <mergeCell ref="A140:H140"/>
    <mergeCell ref="I140:M140"/>
    <mergeCell ref="N140:Q140"/>
    <mergeCell ref="R140:X140"/>
    <mergeCell ref="A141:H141"/>
    <mergeCell ref="J141:L141"/>
    <mergeCell ref="O141:P141"/>
    <mergeCell ref="Q141:X141"/>
    <mergeCell ref="A138:K138"/>
    <mergeCell ref="L138:M138"/>
    <mergeCell ref="N138:O138"/>
    <mergeCell ref="P138:R138"/>
    <mergeCell ref="S138:V138"/>
    <mergeCell ref="W138:X138"/>
    <mergeCell ref="A137:K137"/>
    <mergeCell ref="L137:M137"/>
    <mergeCell ref="N137:O137"/>
    <mergeCell ref="P137:R137"/>
    <mergeCell ref="S137:V137"/>
    <mergeCell ref="W137:X137"/>
    <mergeCell ref="A136:K136"/>
    <mergeCell ref="L136:M136"/>
    <mergeCell ref="N136:O136"/>
    <mergeCell ref="P136:R136"/>
    <mergeCell ref="S136:V136"/>
    <mergeCell ref="W136:X136"/>
    <mergeCell ref="A135:K135"/>
    <mergeCell ref="L135:M135"/>
    <mergeCell ref="N135:O135"/>
    <mergeCell ref="P135:R135"/>
    <mergeCell ref="S135:V135"/>
    <mergeCell ref="W135:X135"/>
    <mergeCell ref="A133:X133"/>
    <mergeCell ref="A134:K134"/>
    <mergeCell ref="L134:M134"/>
    <mergeCell ref="N134:O134"/>
    <mergeCell ref="P134:R134"/>
    <mergeCell ref="S134:V134"/>
    <mergeCell ref="W134:X134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5:X125"/>
    <mergeCell ref="A126:X126"/>
    <mergeCell ref="A127:K127"/>
    <mergeCell ref="L127:M127"/>
    <mergeCell ref="N127:O127"/>
    <mergeCell ref="P127:R127"/>
    <mergeCell ref="S127:V127"/>
    <mergeCell ref="W127:X127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4:X34"/>
    <mergeCell ref="A35:X35"/>
    <mergeCell ref="A36:K36"/>
    <mergeCell ref="L36:M36"/>
    <mergeCell ref="N36:O36"/>
    <mergeCell ref="P36:R36"/>
    <mergeCell ref="S36:V36"/>
    <mergeCell ref="W36:X36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12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2015-05-26T11:03:33Z</dcterms:created>
  <dcterms:modified xsi:type="dcterms:W3CDTF">2015-05-26T11:03:33Z</dcterms:modified>
  <cp:category/>
  <cp:version/>
  <cp:contentType/>
  <cp:contentStatus/>
</cp:coreProperties>
</file>