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<sst xmlns="http://schemas.openxmlformats.org/spreadsheetml/2006/main" count="552" uniqueCount="225">
  <si>
    <t>ОТЧЕТ ОБ ИСПОЛНЕНИИ БЮДЖЕТА</t>
  </si>
  <si>
    <t>КОДЫ</t>
  </si>
  <si>
    <t xml:space="preserve">Форма по ОКУД </t>
  </si>
  <si>
    <t>0503117</t>
  </si>
  <si>
    <t>на 1 июня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</si>
  <si>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</si>
  <si>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</si>
  <si>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</si>
  <si>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</si>
  <si>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</si>
  <si>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</si>
  <si>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</si>
  <si>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</si>
  <si>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</si>
  <si>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</si>
  <si>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</si>
  <si>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</si>
  <si>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</si>
  <si>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</si>
  <si>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</si>
  <si>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</si>
  <si>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</si>
  <si>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</si>
  <si>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</si>
  <si>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</si>
  <si>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</si>
  <si>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</si>
  <si>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</si>
  <si>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</si>
  <si>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</si>
  <si>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</si>
  <si>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</si>
  <si>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</si>
  <si>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</si>
  <si>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</si>
  <si>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</si>
  <si>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</si>
  <si>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</si>
  <si>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</si>
  <si>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</si>
  <si>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</si>
  <si>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</si>
  <si>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</si>
  <si>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</si>
  <si>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</si>
  <si>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</si>
  <si>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</si>
  <si>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</si>
  <si>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</si>
  <si>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</si>
  <si>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</si>
  <si>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</si>
  <si>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</si>
  <si>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</si>
  <si>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</si>
  <si>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</si>
  <si>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</si>
  <si>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</si>
  <si>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</si>
  <si>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</si>
  <si>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</si>
  <si>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</si>
  <si>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</si>
  <si>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</si>
  <si>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</si>
  <si>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</si>
  <si>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182 11690050 10 0000 140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</si>
  <si>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</si>
  <si>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</si>
  <si>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</si>
  <si>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</si>
  <si>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</si>
  <si>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</si>
  <si>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</si>
  <si>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</si>
  <si>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</si>
  <si>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</si>
  <si>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</si>
  <si>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</si>
  <si>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</si>
  <si>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</si>
  <si>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</si>
  <si>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</si>
  <si>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</si>
  <si>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</si>
  <si>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</si>
  <si>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</si>
  <si>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</si>
  <si>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</si>
  <si>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</si>
  <si>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</si>
  <si>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</si>
  <si>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</si>
  <si>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</si>
  <si>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</si>
  <si>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</si>
  <si>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</si>
  <si>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</si>
  <si>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</si>
  <si>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</si>
  <si>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</si>
  <si>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</si>
  <si>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</si>
  <si>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</si>
  <si>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</si>
  <si>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</si>
  <si>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</si>
  <si>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</si>
  <si>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</si>
  <si>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</si>
  <si>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</si>
  <si>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</si>
  <si>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</si>
  <si>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</si>
  <si>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</si>
  <si>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</si>
  <si>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</si>
  <si>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</si>
  <si>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</si>
  <si>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</si>
  <si>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</si>
  <si>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</si>
  <si>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</si>
  <si>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</si>
  <si>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</si>
  <si>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</si>
  <si>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</si>
  <si>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992 0113 5211039 244 226</t>
  </si>
  <si>
    <t>992 0203 5525118 121 211</t>
  </si>
  <si>
    <t>992 0203 5525118 121 213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</si>
  <si>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</si>
  <si>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</si>
  <si>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</si>
  <si>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</si>
  <si>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</si>
  <si>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</si>
  <si>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</si>
  <si>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</si>
  <si>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</si>
  <si>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</si>
  <si>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</si>
  <si>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</si>
  <si>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992 0409 0410040 244 226</t>
  </si>
  <si>
    <t>992 0409 0410042 244 225</t>
  </si>
  <si>
    <t>992 0409 0410042 244 310</t>
  </si>
  <si>
    <t>992 0409 0410042 244 340</t>
  </si>
  <si>
    <t>992 0409 0416027 244 225</t>
  </si>
  <si>
    <t>992 0409 0420013 244 225</t>
  </si>
  <si>
    <t>992 0409 0420013 244 226</t>
  </si>
  <si>
    <t>992 0409 0420013 831 290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</si>
  <si>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</si>
  <si>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</si>
  <si>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</si>
  <si>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</si>
  <si>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</si>
  <si>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</si>
  <si>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</si>
  <si>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</si>
  <si>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</si>
  <si>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</si>
  <si>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</si>
  <si>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</si>
  <si>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</si>
  <si>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</si>
  <si>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</si>
  <si>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</si>
  <si>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</si>
  <si>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</si>
  <si>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</si>
  <si>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992 0801 1010026 244 225</t>
  </si>
  <si>
    <t>992 0801 1010026 244 226</t>
  </si>
  <si>
    <t>992 0801 1010026 244 310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</si>
  <si>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</si>
  <si>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</si>
  <si>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</si>
  <si>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</si>
  <si>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992 0801 1020029 612 241</t>
  </si>
  <si>
    <t>992 0801 1026012 612 241</t>
  </si>
  <si>
    <t>992 0801 1030030 611 241</t>
  </si>
  <si>
    <t>992 0801 1030031 611 241</t>
  </si>
  <si>
    <t>992 0804 1100032 244 226</t>
  </si>
  <si>
    <t>992 0804 1100032 244 340</t>
  </si>
  <si>
    <t>992 0804 1100033 244 226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</si>
  <si>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</si>
  <si>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</si>
  <si>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</si>
  <si>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</si>
  <si>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</si>
  <si>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</si>
  <si>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</si>
  <si>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</si>
  <si>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</si>
  <si>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</si>
  <si>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</si>
  <si>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</si>
  <si>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</si>
  <si>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</si>
  <si>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</si>
  <si>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</si>
  <si>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</si>
  <si>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</si>
  <si>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</si>
  <si>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</si>
  <si>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</si>
  <si>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</si>
  <si>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</si>
  <si>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</si>
  <si>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</si>
  <si>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</si>
  <si>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</si>
  <si>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</si>
  <si>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</si>
  <si>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</si>
  <si>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</si>
  <si>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</si>
  <si>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</si>
  <si>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</si>
  <si>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</si>
  <si>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</si>
  <si>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</si>
  <si>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</si>
  <si>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</si>
  <si>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</si>
  <si>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 июня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</si>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</sst>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42156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30481800</f>
        <v>30481800</v>
      </c>
      <c r="Q12" s="21"/>
      <c r="R12" s="21"/>
      <c r="S12" s="21">
        <f>10872049.05</f>
        <v>10872049.05</v>
      </c>
      <c r="T12" s="21"/>
      <c r="U12" s="21"/>
      <c r="V12" s="21"/>
      <c r="W12" s="22">
        <f>19609750.95</f>
        <v>19609750.95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529889.01</f>
        <v>529889.01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13119.96</f>
        <v>13119.96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2627000</f>
        <v>2627000</v>
      </c>
      <c r="Q15" s="26"/>
      <c r="R15" s="26"/>
      <c r="S15" s="26">
        <f>1066235.13</f>
        <v>1066235.13</v>
      </c>
      <c r="T15" s="26"/>
      <c r="U15" s="26"/>
      <c r="V15" s="26"/>
      <c r="W15" s="27">
        <f>1560764.87</f>
        <v>1560764.87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-36519.02</f>
        <v>-36519.02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7700000</f>
        <v>7700000</v>
      </c>
      <c r="Q17" s="26"/>
      <c r="R17" s="26"/>
      <c r="S17" s="26">
        <f>2890636.23</f>
        <v>2890636.23</v>
      </c>
      <c r="T17" s="26"/>
      <c r="U17" s="26"/>
      <c r="V17" s="26"/>
      <c r="W17" s="27">
        <f>4809363.77</f>
        <v>4809363.77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43472.39</f>
        <v>43472.39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21890.31</f>
        <v>21890.31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48302.12</f>
        <v>48302.12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586000</f>
        <v>586000</v>
      </c>
      <c r="Q21" s="26"/>
      <c r="R21" s="26"/>
      <c r="S21" s="26">
        <f>415345.57</f>
        <v>415345.57</v>
      </c>
      <c r="T21" s="26"/>
      <c r="U21" s="26"/>
      <c r="V21" s="26"/>
      <c r="W21" s="27">
        <f>170654.43</f>
        <v>170654.43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1370000</f>
        <v>1370000</v>
      </c>
      <c r="Q22" s="26"/>
      <c r="R22" s="26"/>
      <c r="S22" s="26">
        <f>217597.66</f>
        <v>217597.66</v>
      </c>
      <c r="T22" s="26"/>
      <c r="U22" s="26"/>
      <c r="V22" s="26"/>
      <c r="W22" s="27">
        <f>1152402.34</f>
        <v>1152402.34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4500000</f>
        <v>4500000</v>
      </c>
      <c r="Q23" s="26"/>
      <c r="R23" s="26"/>
      <c r="S23" s="26">
        <f>1387927.04</f>
        <v>1387927.04</v>
      </c>
      <c r="T23" s="26"/>
      <c r="U23" s="26"/>
      <c r="V23" s="26"/>
      <c r="W23" s="27">
        <f>3112072.96</f>
        <v>3112072.96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5000000</f>
        <v>5000000</v>
      </c>
      <c r="Q24" s="26"/>
      <c r="R24" s="26"/>
      <c r="S24" s="26">
        <f>814697</f>
        <v>814697</v>
      </c>
      <c r="T24" s="26"/>
      <c r="U24" s="26"/>
      <c r="V24" s="26"/>
      <c r="W24" s="27">
        <f>4185303</f>
        <v>4185303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 t="s">
        <v>40</v>
      </c>
      <c r="Q25" s="25"/>
      <c r="R25" s="25"/>
      <c r="S25" s="26">
        <f>101.6</f>
        <v>101.6</v>
      </c>
      <c r="T25" s="26"/>
      <c r="U25" s="26"/>
      <c r="V25" s="26"/>
      <c r="W25" s="27">
        <f>0</f>
        <v>0</v>
      </c>
      <c r="X25" s="27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500</f>
        <v>500</v>
      </c>
      <c r="T26" s="26"/>
      <c r="U26" s="26"/>
      <c r="V26" s="26"/>
      <c r="W26" s="27">
        <f>0</f>
        <v>0</v>
      </c>
      <c r="X26" s="27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 t="s">
        <v>40</v>
      </c>
      <c r="Q27" s="25"/>
      <c r="R27" s="25"/>
      <c r="S27" s="26">
        <f>4300</f>
        <v>4300</v>
      </c>
      <c r="T27" s="26"/>
      <c r="U27" s="26"/>
      <c r="V27" s="26"/>
      <c r="W27" s="27">
        <f>0</f>
        <v>0</v>
      </c>
      <c r="X27" s="27"/>
    </row>
    <row r="28" spans="1:24" s="1" customFormat="1" ht="4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0</f>
        <v>0</v>
      </c>
      <c r="Q28" s="26"/>
      <c r="R28" s="26"/>
      <c r="S28" s="25" t="s">
        <v>40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0</f>
        <v>0</v>
      </c>
      <c r="Q29" s="26"/>
      <c r="R29" s="26"/>
      <c r="S29" s="25" t="s">
        <v>40</v>
      </c>
      <c r="T29" s="25"/>
      <c r="U29" s="25"/>
      <c r="V29" s="25"/>
      <c r="W29" s="27">
        <f>0</f>
        <v>0</v>
      </c>
      <c r="X29" s="27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6">
        <f>390000</f>
        <v>390000</v>
      </c>
      <c r="Q30" s="26"/>
      <c r="R30" s="26"/>
      <c r="S30" s="26">
        <f>162654.05</f>
        <v>162654.05</v>
      </c>
      <c r="T30" s="26"/>
      <c r="U30" s="26"/>
      <c r="V30" s="26"/>
      <c r="W30" s="27">
        <f>227345.95</f>
        <v>227345.95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 t="s">
        <v>40</v>
      </c>
      <c r="Q31" s="25"/>
      <c r="R31" s="25"/>
      <c r="S31" s="26">
        <f>12000</f>
        <v>12000</v>
      </c>
      <c r="T31" s="26"/>
      <c r="U31" s="26"/>
      <c r="V31" s="26"/>
      <c r="W31" s="27">
        <f>0</f>
        <v>0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6">
        <f>5483800</f>
        <v>5483800</v>
      </c>
      <c r="Q32" s="26"/>
      <c r="R32" s="26"/>
      <c r="S32" s="26">
        <f>2413600</f>
        <v>2413600</v>
      </c>
      <c r="T32" s="26"/>
      <c r="U32" s="26"/>
      <c r="V32" s="26"/>
      <c r="W32" s="27">
        <f>3070200</f>
        <v>3070200</v>
      </c>
      <c r="X32" s="27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6">
        <f>2454100</f>
        <v>2454100</v>
      </c>
      <c r="Q33" s="26"/>
      <c r="R33" s="26"/>
      <c r="S33" s="26">
        <f>677050</f>
        <v>677050</v>
      </c>
      <c r="T33" s="26"/>
      <c r="U33" s="26"/>
      <c r="V33" s="26"/>
      <c r="W33" s="27">
        <f>1777050</f>
        <v>1777050</v>
      </c>
      <c r="X33" s="27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6">
        <f>363300</f>
        <v>363300</v>
      </c>
      <c r="Q34" s="26"/>
      <c r="R34" s="26"/>
      <c r="S34" s="26">
        <f>181650</f>
        <v>181650</v>
      </c>
      <c r="T34" s="26"/>
      <c r="U34" s="26"/>
      <c r="V34" s="26"/>
      <c r="W34" s="27">
        <f>181650</f>
        <v>181650</v>
      </c>
      <c r="X34" s="27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6">
        <f>7600</f>
        <v>7600</v>
      </c>
      <c r="Q35" s="26"/>
      <c r="R35" s="26"/>
      <c r="S35" s="26">
        <f>7600</f>
        <v>7600</v>
      </c>
      <c r="T35" s="26"/>
      <c r="U35" s="26"/>
      <c r="V35" s="26"/>
      <c r="W35" s="27">
        <f>0</f>
        <v>0</v>
      </c>
      <c r="X35" s="27"/>
    </row>
    <row r="36" spans="1:24" s="1" customFormat="1" ht="13.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39306105.53</f>
        <v>39306105.53</v>
      </c>
      <c r="Q40" s="21"/>
      <c r="R40" s="21"/>
      <c r="S40" s="21">
        <f>14767661.34</f>
        <v>14767661.34</v>
      </c>
      <c r="T40" s="21"/>
      <c r="U40" s="21"/>
      <c r="V40" s="21"/>
      <c r="W40" s="22">
        <f>24538444.19</f>
        <v>24538444.19</v>
      </c>
      <c r="X40" s="22"/>
    </row>
    <row r="41" spans="1:24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88</v>
      </c>
      <c r="M41" s="30"/>
      <c r="N41" s="30" t="s">
        <v>90</v>
      </c>
      <c r="O41" s="30"/>
      <c r="P41" s="31">
        <f>492100</f>
        <v>492100</v>
      </c>
      <c r="Q41" s="31"/>
      <c r="R41" s="31"/>
      <c r="S41" s="31">
        <f>181845</f>
        <v>181845</v>
      </c>
      <c r="T41" s="31"/>
      <c r="U41" s="31"/>
      <c r="V41" s="31"/>
      <c r="W41" s="32">
        <f>310255</f>
        <v>310255</v>
      </c>
      <c r="X41" s="32"/>
    </row>
    <row r="42" spans="1:24" s="1" customFormat="1" ht="13.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88</v>
      </c>
      <c r="M42" s="30"/>
      <c r="N42" s="30" t="s">
        <v>92</v>
      </c>
      <c r="O42" s="30"/>
      <c r="P42" s="31">
        <f>148600</f>
        <v>148600</v>
      </c>
      <c r="Q42" s="31"/>
      <c r="R42" s="31"/>
      <c r="S42" s="31">
        <f>44942.44</f>
        <v>44942.44</v>
      </c>
      <c r="T42" s="31"/>
      <c r="U42" s="31"/>
      <c r="V42" s="31"/>
      <c r="W42" s="32">
        <f>103657.56</f>
        <v>103657.56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88</v>
      </c>
      <c r="M43" s="30"/>
      <c r="N43" s="30" t="s">
        <v>93</v>
      </c>
      <c r="O43" s="30"/>
      <c r="P43" s="31">
        <f>2939400</f>
        <v>2939400</v>
      </c>
      <c r="Q43" s="31"/>
      <c r="R43" s="31"/>
      <c r="S43" s="31">
        <f>1068233.81</f>
        <v>1068233.81</v>
      </c>
      <c r="T43" s="31"/>
      <c r="U43" s="31"/>
      <c r="V43" s="31"/>
      <c r="W43" s="32">
        <f>1871166.19</f>
        <v>1871166.19</v>
      </c>
      <c r="X43" s="32"/>
    </row>
    <row r="44" spans="1:24" s="1" customFormat="1" ht="13.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88</v>
      </c>
      <c r="M44" s="30"/>
      <c r="N44" s="30" t="s">
        <v>94</v>
      </c>
      <c r="O44" s="30"/>
      <c r="P44" s="31">
        <f>887700</f>
        <v>887700</v>
      </c>
      <c r="Q44" s="31"/>
      <c r="R44" s="31"/>
      <c r="S44" s="31">
        <f>350930.77</f>
        <v>350930.77</v>
      </c>
      <c r="T44" s="31"/>
      <c r="U44" s="31"/>
      <c r="V44" s="31"/>
      <c r="W44" s="32">
        <f>536769.23</f>
        <v>536769.23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88</v>
      </c>
      <c r="M45" s="30"/>
      <c r="N45" s="30" t="s">
        <v>96</v>
      </c>
      <c r="O45" s="30"/>
      <c r="P45" s="31">
        <f>20000</f>
        <v>20000</v>
      </c>
      <c r="Q45" s="31"/>
      <c r="R45" s="31"/>
      <c r="S45" s="31">
        <f>19800</f>
        <v>19800</v>
      </c>
      <c r="T45" s="31"/>
      <c r="U45" s="31"/>
      <c r="V45" s="31"/>
      <c r="W45" s="32">
        <f>200</f>
        <v>200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88</v>
      </c>
      <c r="M46" s="30"/>
      <c r="N46" s="30" t="s">
        <v>98</v>
      </c>
      <c r="O46" s="30"/>
      <c r="P46" s="31">
        <f>60000</f>
        <v>60000</v>
      </c>
      <c r="Q46" s="31"/>
      <c r="R46" s="31"/>
      <c r="S46" s="31">
        <f>29850</f>
        <v>29850</v>
      </c>
      <c r="T46" s="31"/>
      <c r="U46" s="31"/>
      <c r="V46" s="31"/>
      <c r="W46" s="32">
        <f>30150</f>
        <v>30150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88</v>
      </c>
      <c r="M47" s="30"/>
      <c r="N47" s="30" t="s">
        <v>100</v>
      </c>
      <c r="O47" s="30"/>
      <c r="P47" s="31">
        <f>128200</f>
        <v>128200</v>
      </c>
      <c r="Q47" s="31"/>
      <c r="R47" s="31"/>
      <c r="S47" s="31">
        <f>70370</f>
        <v>70370</v>
      </c>
      <c r="T47" s="31"/>
      <c r="U47" s="31"/>
      <c r="V47" s="31"/>
      <c r="W47" s="32">
        <f>57830</f>
        <v>57830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88</v>
      </c>
      <c r="M48" s="30"/>
      <c r="N48" s="30" t="s">
        <v>102</v>
      </c>
      <c r="O48" s="30"/>
      <c r="P48" s="31">
        <f>282100</f>
        <v>282100</v>
      </c>
      <c r="Q48" s="31"/>
      <c r="R48" s="31"/>
      <c r="S48" s="31">
        <f>58038</f>
        <v>58038</v>
      </c>
      <c r="T48" s="31"/>
      <c r="U48" s="31"/>
      <c r="V48" s="31"/>
      <c r="W48" s="32">
        <f>224062</f>
        <v>224062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88</v>
      </c>
      <c r="M49" s="30"/>
      <c r="N49" s="30" t="s">
        <v>104</v>
      </c>
      <c r="O49" s="30"/>
      <c r="P49" s="31">
        <f>140000</f>
        <v>140000</v>
      </c>
      <c r="Q49" s="31"/>
      <c r="R49" s="31"/>
      <c r="S49" s="31">
        <f>24426</f>
        <v>24426</v>
      </c>
      <c r="T49" s="31"/>
      <c r="U49" s="31"/>
      <c r="V49" s="31"/>
      <c r="W49" s="32">
        <f>115574</f>
        <v>115574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88</v>
      </c>
      <c r="M50" s="30"/>
      <c r="N50" s="30" t="s">
        <v>106</v>
      </c>
      <c r="O50" s="30"/>
      <c r="P50" s="31">
        <f>220000</f>
        <v>220000</v>
      </c>
      <c r="Q50" s="31"/>
      <c r="R50" s="31"/>
      <c r="S50" s="31">
        <f>95888.9</f>
        <v>95888.9</v>
      </c>
      <c r="T50" s="31"/>
      <c r="U50" s="31"/>
      <c r="V50" s="31"/>
      <c r="W50" s="32">
        <f>124111.1</f>
        <v>124111.1</v>
      </c>
      <c r="X50" s="32"/>
    </row>
    <row r="51" spans="1:24" s="1" customFormat="1" ht="13.5" customHeight="1">
      <c r="A51" s="29" t="s">
        <v>105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88</v>
      </c>
      <c r="M51" s="30"/>
      <c r="N51" s="30" t="s">
        <v>107</v>
      </c>
      <c r="O51" s="30"/>
      <c r="P51" s="31">
        <f>35000</f>
        <v>35000</v>
      </c>
      <c r="Q51" s="31"/>
      <c r="R51" s="31"/>
      <c r="S51" s="31">
        <f>12370.63</f>
        <v>12370.63</v>
      </c>
      <c r="T51" s="31"/>
      <c r="U51" s="31"/>
      <c r="V51" s="31"/>
      <c r="W51" s="32">
        <f>22629.37</f>
        <v>22629.37</v>
      </c>
      <c r="X51" s="32"/>
    </row>
    <row r="52" spans="1:24" s="1" customFormat="1" ht="13.5" customHeight="1">
      <c r="A52" s="29" t="s">
        <v>105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88</v>
      </c>
      <c r="M52" s="30"/>
      <c r="N52" s="30" t="s">
        <v>108</v>
      </c>
      <c r="O52" s="30"/>
      <c r="P52" s="31">
        <f>15000</f>
        <v>15000</v>
      </c>
      <c r="Q52" s="31"/>
      <c r="R52" s="31"/>
      <c r="S52" s="33" t="s">
        <v>40</v>
      </c>
      <c r="T52" s="33"/>
      <c r="U52" s="33"/>
      <c r="V52" s="33"/>
      <c r="W52" s="32">
        <f>15000</f>
        <v>15000</v>
      </c>
      <c r="X52" s="32"/>
    </row>
    <row r="53" spans="1:24" s="1" customFormat="1" ht="13.5" customHeight="1">
      <c r="A53" s="29" t="s">
        <v>103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88</v>
      </c>
      <c r="M53" s="30"/>
      <c r="N53" s="30" t="s">
        <v>109</v>
      </c>
      <c r="O53" s="30"/>
      <c r="P53" s="31">
        <f>7600</f>
        <v>7600</v>
      </c>
      <c r="Q53" s="31"/>
      <c r="R53" s="31"/>
      <c r="S53" s="33" t="s">
        <v>40</v>
      </c>
      <c r="T53" s="33"/>
      <c r="U53" s="33"/>
      <c r="V53" s="33"/>
      <c r="W53" s="32">
        <f>7600</f>
        <v>7600</v>
      </c>
      <c r="X53" s="32"/>
    </row>
    <row r="54" spans="1:24" s="1" customFormat="1" ht="13.5" customHeight="1">
      <c r="A54" s="29" t="s">
        <v>110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88</v>
      </c>
      <c r="M54" s="30"/>
      <c r="N54" s="30" t="s">
        <v>111</v>
      </c>
      <c r="O54" s="30"/>
      <c r="P54" s="31">
        <f>162900</f>
        <v>162900</v>
      </c>
      <c r="Q54" s="31"/>
      <c r="R54" s="31"/>
      <c r="S54" s="31">
        <f>40725</f>
        <v>40725</v>
      </c>
      <c r="T54" s="31"/>
      <c r="U54" s="31"/>
      <c r="V54" s="31"/>
      <c r="W54" s="32">
        <f>122175</f>
        <v>122175</v>
      </c>
      <c r="X54" s="32"/>
    </row>
    <row r="55" spans="1:24" s="1" customFormat="1" ht="13.5" customHeight="1">
      <c r="A55" s="29" t="s">
        <v>105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88</v>
      </c>
      <c r="M55" s="30"/>
      <c r="N55" s="30" t="s">
        <v>112</v>
      </c>
      <c r="O55" s="30"/>
      <c r="P55" s="31">
        <f>40000</f>
        <v>40000</v>
      </c>
      <c r="Q55" s="31"/>
      <c r="R55" s="31"/>
      <c r="S55" s="33" t="s">
        <v>40</v>
      </c>
      <c r="T55" s="33"/>
      <c r="U55" s="33"/>
      <c r="V55" s="33"/>
      <c r="W55" s="32">
        <f>40000</f>
        <v>40000</v>
      </c>
      <c r="X55" s="32"/>
    </row>
    <row r="56" spans="1:24" s="1" customFormat="1" ht="13.5" customHeight="1">
      <c r="A56" s="29" t="s">
        <v>99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88</v>
      </c>
      <c r="M56" s="30"/>
      <c r="N56" s="30" t="s">
        <v>113</v>
      </c>
      <c r="O56" s="30"/>
      <c r="P56" s="31">
        <f>72500</f>
        <v>72500</v>
      </c>
      <c r="Q56" s="31"/>
      <c r="R56" s="31"/>
      <c r="S56" s="33" t="s">
        <v>40</v>
      </c>
      <c r="T56" s="33"/>
      <c r="U56" s="33"/>
      <c r="V56" s="33"/>
      <c r="W56" s="32">
        <f>72500</f>
        <v>72500</v>
      </c>
      <c r="X56" s="32"/>
    </row>
    <row r="57" spans="1:24" s="1" customFormat="1" ht="13.5" customHeight="1">
      <c r="A57" s="29" t="s">
        <v>105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88</v>
      </c>
      <c r="M57" s="30"/>
      <c r="N57" s="30" t="s">
        <v>114</v>
      </c>
      <c r="O57" s="30"/>
      <c r="P57" s="31">
        <f>86500</f>
        <v>86500</v>
      </c>
      <c r="Q57" s="31"/>
      <c r="R57" s="31"/>
      <c r="S57" s="31">
        <f>9600</f>
        <v>9600</v>
      </c>
      <c r="T57" s="31"/>
      <c r="U57" s="31"/>
      <c r="V57" s="31"/>
      <c r="W57" s="32">
        <f>76900</f>
        <v>76900</v>
      </c>
      <c r="X57" s="32"/>
    </row>
    <row r="58" spans="1:24" s="1" customFormat="1" ht="13.5" customHeight="1">
      <c r="A58" s="29" t="s">
        <v>99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88</v>
      </c>
      <c r="M58" s="30"/>
      <c r="N58" s="30" t="s">
        <v>115</v>
      </c>
      <c r="O58" s="30"/>
      <c r="P58" s="31">
        <f>1000</f>
        <v>1000</v>
      </c>
      <c r="Q58" s="31"/>
      <c r="R58" s="31"/>
      <c r="S58" s="33" t="s">
        <v>40</v>
      </c>
      <c r="T58" s="33"/>
      <c r="U58" s="33"/>
      <c r="V58" s="33"/>
      <c r="W58" s="32">
        <f>1000</f>
        <v>1000</v>
      </c>
      <c r="X58" s="32"/>
    </row>
    <row r="59" spans="1:24" s="1" customFormat="1" ht="13.5" customHeight="1">
      <c r="A59" s="29" t="s">
        <v>89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88</v>
      </c>
      <c r="M59" s="30"/>
      <c r="N59" s="30" t="s">
        <v>116</v>
      </c>
      <c r="O59" s="30"/>
      <c r="P59" s="31">
        <f>3343300</f>
        <v>3343300</v>
      </c>
      <c r="Q59" s="31"/>
      <c r="R59" s="31"/>
      <c r="S59" s="31">
        <f>1223895.13</f>
        <v>1223895.13</v>
      </c>
      <c r="T59" s="31"/>
      <c r="U59" s="31"/>
      <c r="V59" s="31"/>
      <c r="W59" s="32">
        <f>2119404.87</f>
        <v>2119404.87</v>
      </c>
      <c r="X59" s="32"/>
    </row>
    <row r="60" spans="1:24" s="1" customFormat="1" ht="13.5" customHeight="1">
      <c r="A60" s="29" t="s">
        <v>91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88</v>
      </c>
      <c r="M60" s="30"/>
      <c r="N60" s="30" t="s">
        <v>117</v>
      </c>
      <c r="O60" s="30"/>
      <c r="P60" s="31">
        <f>1009700</f>
        <v>1009700</v>
      </c>
      <c r="Q60" s="31"/>
      <c r="R60" s="31"/>
      <c r="S60" s="31">
        <f>340537.65</f>
        <v>340537.65</v>
      </c>
      <c r="T60" s="31"/>
      <c r="U60" s="31"/>
      <c r="V60" s="31"/>
      <c r="W60" s="32">
        <f>669162.35</f>
        <v>669162.35</v>
      </c>
      <c r="X60" s="32"/>
    </row>
    <row r="61" spans="1:24" s="1" customFormat="1" ht="13.5" customHeight="1">
      <c r="A61" s="29" t="s">
        <v>95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88</v>
      </c>
      <c r="M61" s="30"/>
      <c r="N61" s="30" t="s">
        <v>118</v>
      </c>
      <c r="O61" s="30"/>
      <c r="P61" s="31">
        <f>130000</f>
        <v>130000</v>
      </c>
      <c r="Q61" s="31"/>
      <c r="R61" s="31"/>
      <c r="S61" s="31">
        <f>51483.25</f>
        <v>51483.25</v>
      </c>
      <c r="T61" s="31"/>
      <c r="U61" s="31"/>
      <c r="V61" s="31"/>
      <c r="W61" s="32">
        <f>78516.75</f>
        <v>78516.75</v>
      </c>
      <c r="X61" s="32"/>
    </row>
    <row r="62" spans="1:24" s="1" customFormat="1" ht="13.5" customHeight="1">
      <c r="A62" s="29" t="s">
        <v>119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88</v>
      </c>
      <c r="M62" s="30"/>
      <c r="N62" s="30" t="s">
        <v>120</v>
      </c>
      <c r="O62" s="30"/>
      <c r="P62" s="31">
        <f>1051900</f>
        <v>1051900</v>
      </c>
      <c r="Q62" s="31"/>
      <c r="R62" s="31"/>
      <c r="S62" s="31">
        <f>549658.9</f>
        <v>549658.9</v>
      </c>
      <c r="T62" s="31"/>
      <c r="U62" s="31"/>
      <c r="V62" s="31"/>
      <c r="W62" s="32">
        <f>502241.1</f>
        <v>502241.1</v>
      </c>
      <c r="X62" s="32"/>
    </row>
    <row r="63" spans="1:24" s="1" customFormat="1" ht="13.5" customHeight="1">
      <c r="A63" s="29" t="s">
        <v>97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88</v>
      </c>
      <c r="M63" s="30"/>
      <c r="N63" s="30" t="s">
        <v>121</v>
      </c>
      <c r="O63" s="30"/>
      <c r="P63" s="31">
        <f>40000</f>
        <v>40000</v>
      </c>
      <c r="Q63" s="31"/>
      <c r="R63" s="31"/>
      <c r="S63" s="33" t="s">
        <v>40</v>
      </c>
      <c r="T63" s="33"/>
      <c r="U63" s="33"/>
      <c r="V63" s="33"/>
      <c r="W63" s="32">
        <f>40000</f>
        <v>40000</v>
      </c>
      <c r="X63" s="32"/>
    </row>
    <row r="64" spans="1:24" s="1" customFormat="1" ht="13.5" customHeight="1">
      <c r="A64" s="29" t="s">
        <v>99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88</v>
      </c>
      <c r="M64" s="30"/>
      <c r="N64" s="30" t="s">
        <v>122</v>
      </c>
      <c r="O64" s="30"/>
      <c r="P64" s="31">
        <f>365000</f>
        <v>365000</v>
      </c>
      <c r="Q64" s="31"/>
      <c r="R64" s="31"/>
      <c r="S64" s="31">
        <f>105621.9</f>
        <v>105621.9</v>
      </c>
      <c r="T64" s="31"/>
      <c r="U64" s="31"/>
      <c r="V64" s="31"/>
      <c r="W64" s="32">
        <f>259378.1</f>
        <v>259378.1</v>
      </c>
      <c r="X64" s="32"/>
    </row>
    <row r="65" spans="1:24" s="1" customFormat="1" ht="13.5" customHeight="1">
      <c r="A65" s="29" t="s">
        <v>101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88</v>
      </c>
      <c r="M65" s="30"/>
      <c r="N65" s="30" t="s">
        <v>123</v>
      </c>
      <c r="O65" s="30"/>
      <c r="P65" s="31">
        <f>553000</f>
        <v>553000</v>
      </c>
      <c r="Q65" s="31"/>
      <c r="R65" s="31"/>
      <c r="S65" s="31">
        <f>34337</f>
        <v>34337</v>
      </c>
      <c r="T65" s="31"/>
      <c r="U65" s="31"/>
      <c r="V65" s="31"/>
      <c r="W65" s="32">
        <f>518663</f>
        <v>518663</v>
      </c>
      <c r="X65" s="32"/>
    </row>
    <row r="66" spans="1:24" s="1" customFormat="1" ht="13.5" customHeight="1">
      <c r="A66" s="29" t="s">
        <v>103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88</v>
      </c>
      <c r="M66" s="30"/>
      <c r="N66" s="30" t="s">
        <v>124</v>
      </c>
      <c r="O66" s="30"/>
      <c r="P66" s="31">
        <f>379600</f>
        <v>379600</v>
      </c>
      <c r="Q66" s="31"/>
      <c r="R66" s="31"/>
      <c r="S66" s="31">
        <f>168586</f>
        <v>168586</v>
      </c>
      <c r="T66" s="31"/>
      <c r="U66" s="31"/>
      <c r="V66" s="31"/>
      <c r="W66" s="32">
        <f>211014</f>
        <v>211014</v>
      </c>
      <c r="X66" s="32"/>
    </row>
    <row r="67" spans="1:24" s="1" customFormat="1" ht="13.5" customHeight="1">
      <c r="A67" s="29" t="s">
        <v>105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88</v>
      </c>
      <c r="M67" s="30"/>
      <c r="N67" s="30" t="s">
        <v>125</v>
      </c>
      <c r="O67" s="30"/>
      <c r="P67" s="31">
        <f>120000</f>
        <v>120000</v>
      </c>
      <c r="Q67" s="31"/>
      <c r="R67" s="31"/>
      <c r="S67" s="31">
        <f>41862.5</f>
        <v>41862.5</v>
      </c>
      <c r="T67" s="31"/>
      <c r="U67" s="31"/>
      <c r="V67" s="31"/>
      <c r="W67" s="32">
        <f>78137.5</f>
        <v>78137.5</v>
      </c>
      <c r="X67" s="32"/>
    </row>
    <row r="68" spans="1:24" s="1" customFormat="1" ht="13.5" customHeight="1">
      <c r="A68" s="29" t="s">
        <v>105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88</v>
      </c>
      <c r="M68" s="30"/>
      <c r="N68" s="30" t="s">
        <v>126</v>
      </c>
      <c r="O68" s="30"/>
      <c r="P68" s="31">
        <f>25000</f>
        <v>25000</v>
      </c>
      <c r="Q68" s="31"/>
      <c r="R68" s="31"/>
      <c r="S68" s="31">
        <f>13079.92</f>
        <v>13079.92</v>
      </c>
      <c r="T68" s="31"/>
      <c r="U68" s="31"/>
      <c r="V68" s="31"/>
      <c r="W68" s="32">
        <f>11920.08</f>
        <v>11920.08</v>
      </c>
      <c r="X68" s="32"/>
    </row>
    <row r="69" spans="1:24" s="1" customFormat="1" ht="13.5" customHeight="1">
      <c r="A69" s="29" t="s">
        <v>99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88</v>
      </c>
      <c r="M69" s="30"/>
      <c r="N69" s="30" t="s">
        <v>127</v>
      </c>
      <c r="O69" s="30"/>
      <c r="P69" s="31">
        <f>2000</f>
        <v>2000</v>
      </c>
      <c r="Q69" s="31"/>
      <c r="R69" s="31"/>
      <c r="S69" s="33" t="s">
        <v>40</v>
      </c>
      <c r="T69" s="33"/>
      <c r="U69" s="33"/>
      <c r="V69" s="33"/>
      <c r="W69" s="32">
        <f>2000</f>
        <v>2000</v>
      </c>
      <c r="X69" s="32"/>
    </row>
    <row r="70" spans="1:24" s="1" customFormat="1" ht="13.5" customHeight="1">
      <c r="A70" s="29" t="s">
        <v>89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88</v>
      </c>
      <c r="M70" s="30"/>
      <c r="N70" s="30" t="s">
        <v>128</v>
      </c>
      <c r="O70" s="30"/>
      <c r="P70" s="31">
        <f>279000</f>
        <v>279000</v>
      </c>
      <c r="Q70" s="31"/>
      <c r="R70" s="31"/>
      <c r="S70" s="31">
        <f>112192</f>
        <v>112192</v>
      </c>
      <c r="T70" s="31"/>
      <c r="U70" s="31"/>
      <c r="V70" s="31"/>
      <c r="W70" s="32">
        <f>166808</f>
        <v>166808</v>
      </c>
      <c r="X70" s="32"/>
    </row>
    <row r="71" spans="1:24" s="1" customFormat="1" ht="13.5" customHeight="1">
      <c r="A71" s="29" t="s">
        <v>91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88</v>
      </c>
      <c r="M71" s="30"/>
      <c r="N71" s="30" t="s">
        <v>129</v>
      </c>
      <c r="O71" s="30"/>
      <c r="P71" s="31">
        <f>84300</f>
        <v>84300</v>
      </c>
      <c r="Q71" s="31"/>
      <c r="R71" s="31"/>
      <c r="S71" s="31">
        <f>27784</f>
        <v>27784</v>
      </c>
      <c r="T71" s="31"/>
      <c r="U71" s="31"/>
      <c r="V71" s="31"/>
      <c r="W71" s="32">
        <f>56516</f>
        <v>56516</v>
      </c>
      <c r="X71" s="32"/>
    </row>
    <row r="72" spans="1:24" s="1" customFormat="1" ht="13.5" customHeight="1">
      <c r="A72" s="29" t="s">
        <v>97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88</v>
      </c>
      <c r="M72" s="30"/>
      <c r="N72" s="30" t="s">
        <v>130</v>
      </c>
      <c r="O72" s="30"/>
      <c r="P72" s="31">
        <f>20000</f>
        <v>20000</v>
      </c>
      <c r="Q72" s="31"/>
      <c r="R72" s="31"/>
      <c r="S72" s="33" t="s">
        <v>40</v>
      </c>
      <c r="T72" s="33"/>
      <c r="U72" s="33"/>
      <c r="V72" s="33"/>
      <c r="W72" s="32">
        <f>20000</f>
        <v>20000</v>
      </c>
      <c r="X72" s="32"/>
    </row>
    <row r="73" spans="1:24" s="1" customFormat="1" ht="13.5" customHeight="1">
      <c r="A73" s="29" t="s">
        <v>103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88</v>
      </c>
      <c r="M73" s="30"/>
      <c r="N73" s="30" t="s">
        <v>131</v>
      </c>
      <c r="O73" s="30"/>
      <c r="P73" s="31">
        <f>4000</f>
        <v>4000</v>
      </c>
      <c r="Q73" s="31"/>
      <c r="R73" s="31"/>
      <c r="S73" s="33" t="s">
        <v>40</v>
      </c>
      <c r="T73" s="33"/>
      <c r="U73" s="33"/>
      <c r="V73" s="33"/>
      <c r="W73" s="32">
        <f>4000</f>
        <v>4000</v>
      </c>
      <c r="X73" s="32"/>
    </row>
    <row r="74" spans="1:24" s="1" customFormat="1" ht="13.5" customHeight="1">
      <c r="A74" s="29" t="s">
        <v>99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88</v>
      </c>
      <c r="M74" s="30"/>
      <c r="N74" s="30" t="s">
        <v>132</v>
      </c>
      <c r="O74" s="30"/>
      <c r="P74" s="31">
        <f>5000</f>
        <v>5000</v>
      </c>
      <c r="Q74" s="31"/>
      <c r="R74" s="31"/>
      <c r="S74" s="33" t="s">
        <v>40</v>
      </c>
      <c r="T74" s="33"/>
      <c r="U74" s="33"/>
      <c r="V74" s="33"/>
      <c r="W74" s="32">
        <f>5000</f>
        <v>5000</v>
      </c>
      <c r="X74" s="32"/>
    </row>
    <row r="75" spans="1:24" s="1" customFormat="1" ht="13.5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88</v>
      </c>
      <c r="M75" s="30"/>
      <c r="N75" s="30" t="s">
        <v>133</v>
      </c>
      <c r="O75" s="30"/>
      <c r="P75" s="31">
        <f>1000</f>
        <v>1000</v>
      </c>
      <c r="Q75" s="31"/>
      <c r="R75" s="31"/>
      <c r="S75" s="33" t="s">
        <v>40</v>
      </c>
      <c r="T75" s="33"/>
      <c r="U75" s="33"/>
      <c r="V75" s="33"/>
      <c r="W75" s="32">
        <f>1000</f>
        <v>1000</v>
      </c>
      <c r="X75" s="32"/>
    </row>
    <row r="76" spans="1:24" s="1" customFormat="1" ht="13.5" customHeight="1">
      <c r="A76" s="29" t="s">
        <v>103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88</v>
      </c>
      <c r="M76" s="30"/>
      <c r="N76" s="30" t="s">
        <v>134</v>
      </c>
      <c r="O76" s="30"/>
      <c r="P76" s="31">
        <f>4000</f>
        <v>4000</v>
      </c>
      <c r="Q76" s="31"/>
      <c r="R76" s="31"/>
      <c r="S76" s="33" t="s">
        <v>40</v>
      </c>
      <c r="T76" s="33"/>
      <c r="U76" s="33"/>
      <c r="V76" s="33"/>
      <c r="W76" s="32">
        <f>4000</f>
        <v>4000</v>
      </c>
      <c r="X76" s="32"/>
    </row>
    <row r="77" spans="1:24" s="1" customFormat="1" ht="13.5" customHeight="1">
      <c r="A77" s="29" t="s">
        <v>103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88</v>
      </c>
      <c r="M77" s="30"/>
      <c r="N77" s="30" t="s">
        <v>135</v>
      </c>
      <c r="O77" s="30"/>
      <c r="P77" s="31">
        <f>1000</f>
        <v>1000</v>
      </c>
      <c r="Q77" s="31"/>
      <c r="R77" s="31"/>
      <c r="S77" s="33" t="s">
        <v>40</v>
      </c>
      <c r="T77" s="33"/>
      <c r="U77" s="33"/>
      <c r="V77" s="33"/>
      <c r="W77" s="32">
        <f>1000</f>
        <v>1000</v>
      </c>
      <c r="X77" s="32"/>
    </row>
    <row r="78" spans="1:24" s="1" customFormat="1" ht="13.5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88</v>
      </c>
      <c r="M78" s="30"/>
      <c r="N78" s="30" t="s">
        <v>136</v>
      </c>
      <c r="O78" s="30"/>
      <c r="P78" s="31">
        <f>5000</f>
        <v>5000</v>
      </c>
      <c r="Q78" s="31"/>
      <c r="R78" s="31"/>
      <c r="S78" s="33" t="s">
        <v>40</v>
      </c>
      <c r="T78" s="33"/>
      <c r="U78" s="33"/>
      <c r="V78" s="33"/>
      <c r="W78" s="32">
        <f>5000</f>
        <v>5000</v>
      </c>
      <c r="X78" s="32"/>
    </row>
    <row r="79" spans="1:24" s="1" customFormat="1" ht="13.5" customHeight="1">
      <c r="A79" s="29" t="s">
        <v>110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88</v>
      </c>
      <c r="M79" s="30"/>
      <c r="N79" s="30" t="s">
        <v>137</v>
      </c>
      <c r="O79" s="30"/>
      <c r="P79" s="31">
        <f>2016500</f>
        <v>2016500</v>
      </c>
      <c r="Q79" s="31"/>
      <c r="R79" s="31"/>
      <c r="S79" s="31">
        <f>504125</f>
        <v>504125</v>
      </c>
      <c r="T79" s="31"/>
      <c r="U79" s="31"/>
      <c r="V79" s="31"/>
      <c r="W79" s="32">
        <f>1512375</f>
        <v>1512375</v>
      </c>
      <c r="X79" s="32"/>
    </row>
    <row r="80" spans="1:24" s="1" customFormat="1" ht="13.5" customHeight="1">
      <c r="A80" s="29" t="s">
        <v>99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88</v>
      </c>
      <c r="M80" s="30"/>
      <c r="N80" s="30" t="s">
        <v>138</v>
      </c>
      <c r="O80" s="30"/>
      <c r="P80" s="31">
        <f>3000</f>
        <v>3000</v>
      </c>
      <c r="Q80" s="31"/>
      <c r="R80" s="31"/>
      <c r="S80" s="33" t="s">
        <v>40</v>
      </c>
      <c r="T80" s="33"/>
      <c r="U80" s="33"/>
      <c r="V80" s="33"/>
      <c r="W80" s="32">
        <f>3000</f>
        <v>3000</v>
      </c>
      <c r="X80" s="32"/>
    </row>
    <row r="81" spans="1:24" s="1" customFormat="1" ht="13.5" customHeight="1">
      <c r="A81" s="29" t="s">
        <v>99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88</v>
      </c>
      <c r="M81" s="30"/>
      <c r="N81" s="30" t="s">
        <v>139</v>
      </c>
      <c r="O81" s="30"/>
      <c r="P81" s="31">
        <f>4000</f>
        <v>4000</v>
      </c>
      <c r="Q81" s="31"/>
      <c r="R81" s="31"/>
      <c r="S81" s="33" t="s">
        <v>40</v>
      </c>
      <c r="T81" s="33"/>
      <c r="U81" s="33"/>
      <c r="V81" s="33"/>
      <c r="W81" s="32">
        <f>4000</f>
        <v>4000</v>
      </c>
      <c r="X81" s="32"/>
    </row>
    <row r="82" spans="1:24" s="1" customFormat="1" ht="13.5" customHeight="1">
      <c r="A82" s="29" t="s">
        <v>97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88</v>
      </c>
      <c r="M82" s="30"/>
      <c r="N82" s="30" t="s">
        <v>140</v>
      </c>
      <c r="O82" s="30"/>
      <c r="P82" s="31">
        <f>43000</f>
        <v>43000</v>
      </c>
      <c r="Q82" s="31"/>
      <c r="R82" s="31"/>
      <c r="S82" s="33" t="s">
        <v>40</v>
      </c>
      <c r="T82" s="33"/>
      <c r="U82" s="33"/>
      <c r="V82" s="33"/>
      <c r="W82" s="32">
        <f>43000</f>
        <v>43000</v>
      </c>
      <c r="X82" s="32"/>
    </row>
    <row r="83" spans="1:24" s="1" customFormat="1" ht="13.5" customHeight="1">
      <c r="A83" s="29" t="s">
        <v>97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88</v>
      </c>
      <c r="M83" s="30"/>
      <c r="N83" s="30" t="s">
        <v>141</v>
      </c>
      <c r="O83" s="30"/>
      <c r="P83" s="31">
        <f>967400</f>
        <v>967400</v>
      </c>
      <c r="Q83" s="31"/>
      <c r="R83" s="31"/>
      <c r="S83" s="33" t="s">
        <v>40</v>
      </c>
      <c r="T83" s="33"/>
      <c r="U83" s="33"/>
      <c r="V83" s="33"/>
      <c r="W83" s="32">
        <f>967400</f>
        <v>967400</v>
      </c>
      <c r="X83" s="32"/>
    </row>
    <row r="84" spans="1:24" s="1" customFormat="1" ht="13.5" customHeight="1">
      <c r="A84" s="29" t="s">
        <v>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88</v>
      </c>
      <c r="M84" s="30"/>
      <c r="N84" s="30" t="s">
        <v>142</v>
      </c>
      <c r="O84" s="30"/>
      <c r="P84" s="31">
        <f>32600</f>
        <v>32600</v>
      </c>
      <c r="Q84" s="31"/>
      <c r="R84" s="31"/>
      <c r="S84" s="31">
        <f>32595</f>
        <v>32595</v>
      </c>
      <c r="T84" s="31"/>
      <c r="U84" s="31"/>
      <c r="V84" s="31"/>
      <c r="W84" s="32">
        <f>5</f>
        <v>5</v>
      </c>
      <c r="X84" s="32"/>
    </row>
    <row r="85" spans="1:24" s="1" customFormat="1" ht="13.5" customHeight="1">
      <c r="A85" s="29" t="s">
        <v>97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88</v>
      </c>
      <c r="M85" s="30"/>
      <c r="N85" s="30" t="s">
        <v>143</v>
      </c>
      <c r="O85" s="30"/>
      <c r="P85" s="31">
        <f>1000000</f>
        <v>1000000</v>
      </c>
      <c r="Q85" s="31"/>
      <c r="R85" s="31"/>
      <c r="S85" s="31">
        <f>178787.47</f>
        <v>178787.47</v>
      </c>
      <c r="T85" s="31"/>
      <c r="U85" s="31"/>
      <c r="V85" s="31"/>
      <c r="W85" s="32">
        <f>821212.53</f>
        <v>821212.53</v>
      </c>
      <c r="X85" s="32"/>
    </row>
    <row r="86" spans="1:24" s="1" customFormat="1" ht="13.5" customHeight="1">
      <c r="A86" s="29" t="s">
        <v>101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88</v>
      </c>
      <c r="M86" s="30"/>
      <c r="N86" s="30" t="s">
        <v>144</v>
      </c>
      <c r="O86" s="30"/>
      <c r="P86" s="31">
        <f>99800</f>
        <v>99800</v>
      </c>
      <c r="Q86" s="31"/>
      <c r="R86" s="31"/>
      <c r="S86" s="31">
        <f>99717.51</f>
        <v>99717.51</v>
      </c>
      <c r="T86" s="31"/>
      <c r="U86" s="31"/>
      <c r="V86" s="31"/>
      <c r="W86" s="32">
        <f>82.49</f>
        <v>82.49</v>
      </c>
      <c r="X86" s="32"/>
    </row>
    <row r="87" spans="1:24" s="1" customFormat="1" ht="13.5" customHeight="1">
      <c r="A87" s="29" t="s">
        <v>103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88</v>
      </c>
      <c r="M87" s="30"/>
      <c r="N87" s="30" t="s">
        <v>145</v>
      </c>
      <c r="O87" s="30"/>
      <c r="P87" s="31">
        <f>1238000</f>
        <v>1238000</v>
      </c>
      <c r="Q87" s="31"/>
      <c r="R87" s="31"/>
      <c r="S87" s="31">
        <f>299880</f>
        <v>299880</v>
      </c>
      <c r="T87" s="31"/>
      <c r="U87" s="31"/>
      <c r="V87" s="31"/>
      <c r="W87" s="32">
        <f>938120</f>
        <v>938120</v>
      </c>
      <c r="X87" s="32"/>
    </row>
    <row r="88" spans="1:24" s="1" customFormat="1" ht="13.5" customHeight="1">
      <c r="A88" s="29" t="s">
        <v>97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88</v>
      </c>
      <c r="M88" s="30"/>
      <c r="N88" s="30" t="s">
        <v>146</v>
      </c>
      <c r="O88" s="30"/>
      <c r="P88" s="31">
        <f>1100000</f>
        <v>1100000</v>
      </c>
      <c r="Q88" s="31"/>
      <c r="R88" s="31"/>
      <c r="S88" s="33" t="s">
        <v>40</v>
      </c>
      <c r="T88" s="33"/>
      <c r="U88" s="33"/>
      <c r="V88" s="33"/>
      <c r="W88" s="32">
        <f>1100000</f>
        <v>1100000</v>
      </c>
      <c r="X88" s="32"/>
    </row>
    <row r="89" spans="1:24" s="1" customFormat="1" ht="13.5" customHeight="1">
      <c r="A89" s="29" t="s">
        <v>97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88</v>
      </c>
      <c r="M89" s="30"/>
      <c r="N89" s="30" t="s">
        <v>147</v>
      </c>
      <c r="O89" s="30"/>
      <c r="P89" s="31">
        <f>645000</f>
        <v>645000</v>
      </c>
      <c r="Q89" s="31"/>
      <c r="R89" s="31"/>
      <c r="S89" s="33" t="s">
        <v>40</v>
      </c>
      <c r="T89" s="33"/>
      <c r="U89" s="33"/>
      <c r="V89" s="33"/>
      <c r="W89" s="32">
        <f>645000</f>
        <v>645000</v>
      </c>
      <c r="X89" s="32"/>
    </row>
    <row r="90" spans="1:24" s="1" customFormat="1" ht="13.5" customHeight="1">
      <c r="A90" s="29" t="s">
        <v>99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88</v>
      </c>
      <c r="M90" s="30"/>
      <c r="N90" s="30" t="s">
        <v>148</v>
      </c>
      <c r="O90" s="30"/>
      <c r="P90" s="31">
        <f>55000</f>
        <v>55000</v>
      </c>
      <c r="Q90" s="31"/>
      <c r="R90" s="31"/>
      <c r="S90" s="31">
        <f>55000</f>
        <v>55000</v>
      </c>
      <c r="T90" s="31"/>
      <c r="U90" s="31"/>
      <c r="V90" s="31"/>
      <c r="W90" s="32">
        <f>0</f>
        <v>0</v>
      </c>
      <c r="X90" s="32"/>
    </row>
    <row r="91" spans="1:24" s="1" customFormat="1" ht="13.5" customHeight="1">
      <c r="A91" s="29" t="s">
        <v>105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88</v>
      </c>
      <c r="M91" s="30"/>
      <c r="N91" s="30" t="s">
        <v>149</v>
      </c>
      <c r="O91" s="30"/>
      <c r="P91" s="31">
        <f>300000</f>
        <v>300000</v>
      </c>
      <c r="Q91" s="31"/>
      <c r="R91" s="31"/>
      <c r="S91" s="31">
        <f>300000</f>
        <v>300000</v>
      </c>
      <c r="T91" s="31"/>
      <c r="U91" s="31"/>
      <c r="V91" s="31"/>
      <c r="W91" s="32">
        <f>0</f>
        <v>0</v>
      </c>
      <c r="X91" s="32"/>
    </row>
    <row r="92" spans="1:24" s="1" customFormat="1" ht="13.5" customHeight="1">
      <c r="A92" s="29" t="s">
        <v>103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88</v>
      </c>
      <c r="M92" s="30"/>
      <c r="N92" s="30" t="s">
        <v>150</v>
      </c>
      <c r="O92" s="30"/>
      <c r="P92" s="31">
        <f>2000</f>
        <v>2000</v>
      </c>
      <c r="Q92" s="31"/>
      <c r="R92" s="31"/>
      <c r="S92" s="33" t="s">
        <v>40</v>
      </c>
      <c r="T92" s="33"/>
      <c r="U92" s="33"/>
      <c r="V92" s="33"/>
      <c r="W92" s="32">
        <f>2000</f>
        <v>2000</v>
      </c>
      <c r="X92" s="32"/>
    </row>
    <row r="93" spans="1:24" s="1" customFormat="1" ht="13.5" customHeight="1">
      <c r="A93" s="29" t="s">
        <v>99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88</v>
      </c>
      <c r="M93" s="30"/>
      <c r="N93" s="30" t="s">
        <v>151</v>
      </c>
      <c r="O93" s="30"/>
      <c r="P93" s="31">
        <f>800000</f>
        <v>800000</v>
      </c>
      <c r="Q93" s="31"/>
      <c r="R93" s="31"/>
      <c r="S93" s="31">
        <f>45000</f>
        <v>45000</v>
      </c>
      <c r="T93" s="31"/>
      <c r="U93" s="31"/>
      <c r="V93" s="31"/>
      <c r="W93" s="32">
        <f>755000</f>
        <v>755000</v>
      </c>
      <c r="X93" s="32"/>
    </row>
    <row r="94" spans="1:24" s="1" customFormat="1" ht="13.5" customHeight="1">
      <c r="A94" s="29" t="s">
        <v>103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88</v>
      </c>
      <c r="M94" s="30"/>
      <c r="N94" s="30" t="s">
        <v>152</v>
      </c>
      <c r="O94" s="30"/>
      <c r="P94" s="31">
        <f>10000</f>
        <v>10000</v>
      </c>
      <c r="Q94" s="31"/>
      <c r="R94" s="31"/>
      <c r="S94" s="33" t="s">
        <v>40</v>
      </c>
      <c r="T94" s="33"/>
      <c r="U94" s="33"/>
      <c r="V94" s="33"/>
      <c r="W94" s="32">
        <f>10000</f>
        <v>10000</v>
      </c>
      <c r="X94" s="32"/>
    </row>
    <row r="95" spans="1:24" s="1" customFormat="1" ht="13.5" customHeight="1">
      <c r="A95" s="29" t="s">
        <v>97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88</v>
      </c>
      <c r="M95" s="30"/>
      <c r="N95" s="30" t="s">
        <v>153</v>
      </c>
      <c r="O95" s="30"/>
      <c r="P95" s="31">
        <f>250000</f>
        <v>250000</v>
      </c>
      <c r="Q95" s="31"/>
      <c r="R95" s="31"/>
      <c r="S95" s="33" t="s">
        <v>40</v>
      </c>
      <c r="T95" s="33"/>
      <c r="U95" s="33"/>
      <c r="V95" s="33"/>
      <c r="W95" s="32">
        <f>250000</f>
        <v>250000</v>
      </c>
      <c r="X95" s="32"/>
    </row>
    <row r="96" spans="1:24" s="1" customFormat="1" ht="13.5" customHeight="1">
      <c r="A96" s="29" t="s">
        <v>101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88</v>
      </c>
      <c r="M96" s="30"/>
      <c r="N96" s="30" t="s">
        <v>154</v>
      </c>
      <c r="O96" s="30"/>
      <c r="P96" s="31">
        <f>962400</f>
        <v>962400</v>
      </c>
      <c r="Q96" s="31"/>
      <c r="R96" s="31"/>
      <c r="S96" s="33" t="s">
        <v>40</v>
      </c>
      <c r="T96" s="33"/>
      <c r="U96" s="33"/>
      <c r="V96" s="33"/>
      <c r="W96" s="32">
        <f>962400</f>
        <v>962400</v>
      </c>
      <c r="X96" s="32"/>
    </row>
    <row r="97" spans="1:24" s="1" customFormat="1" ht="13.5" customHeight="1">
      <c r="A97" s="29" t="s">
        <v>105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88</v>
      </c>
      <c r="M97" s="30"/>
      <c r="N97" s="30" t="s">
        <v>155</v>
      </c>
      <c r="O97" s="30"/>
      <c r="P97" s="31">
        <f>37600</f>
        <v>37600</v>
      </c>
      <c r="Q97" s="31"/>
      <c r="R97" s="31"/>
      <c r="S97" s="31">
        <f>37600</f>
        <v>37600</v>
      </c>
      <c r="T97" s="31"/>
      <c r="U97" s="31"/>
      <c r="V97" s="31"/>
      <c r="W97" s="32">
        <f>0</f>
        <v>0</v>
      </c>
      <c r="X97" s="32"/>
    </row>
    <row r="98" spans="1:24" s="1" customFormat="1" ht="13.5" customHeight="1">
      <c r="A98" s="29" t="s">
        <v>97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88</v>
      </c>
      <c r="M98" s="30"/>
      <c r="N98" s="30" t="s">
        <v>156</v>
      </c>
      <c r="O98" s="30"/>
      <c r="P98" s="31">
        <f>500000</f>
        <v>500000</v>
      </c>
      <c r="Q98" s="31"/>
      <c r="R98" s="31"/>
      <c r="S98" s="33" t="s">
        <v>40</v>
      </c>
      <c r="T98" s="33"/>
      <c r="U98" s="33"/>
      <c r="V98" s="33"/>
      <c r="W98" s="32">
        <f>500000</f>
        <v>500000</v>
      </c>
      <c r="X98" s="32"/>
    </row>
    <row r="99" spans="1:24" s="1" customFormat="1" ht="13.5" customHeight="1">
      <c r="A99" s="29" t="s">
        <v>119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88</v>
      </c>
      <c r="M99" s="30"/>
      <c r="N99" s="30" t="s">
        <v>157</v>
      </c>
      <c r="O99" s="30"/>
      <c r="P99" s="31">
        <f>1050000</f>
        <v>1050000</v>
      </c>
      <c r="Q99" s="31"/>
      <c r="R99" s="31"/>
      <c r="S99" s="31">
        <f>457009.34</f>
        <v>457009.34</v>
      </c>
      <c r="T99" s="31"/>
      <c r="U99" s="31"/>
      <c r="V99" s="31"/>
      <c r="W99" s="32">
        <f>592990.66</f>
        <v>592990.66</v>
      </c>
      <c r="X99" s="32"/>
    </row>
    <row r="100" spans="1:24" s="1" customFormat="1" ht="13.5" customHeight="1">
      <c r="A100" s="29" t="s">
        <v>97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88</v>
      </c>
      <c r="M100" s="30"/>
      <c r="N100" s="30" t="s">
        <v>158</v>
      </c>
      <c r="O100" s="30"/>
      <c r="P100" s="31">
        <f>400000</f>
        <v>400000</v>
      </c>
      <c r="Q100" s="31"/>
      <c r="R100" s="31"/>
      <c r="S100" s="31">
        <f>99900</f>
        <v>99900</v>
      </c>
      <c r="T100" s="31"/>
      <c r="U100" s="31"/>
      <c r="V100" s="31"/>
      <c r="W100" s="32">
        <f>300100</f>
        <v>300100</v>
      </c>
      <c r="X100" s="32"/>
    </row>
    <row r="101" spans="1:24" s="1" customFormat="1" ht="13.5" customHeight="1">
      <c r="A101" s="29" t="s">
        <v>103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88</v>
      </c>
      <c r="M101" s="30"/>
      <c r="N101" s="30" t="s">
        <v>159</v>
      </c>
      <c r="O101" s="30"/>
      <c r="P101" s="31">
        <f>50000</f>
        <v>50000</v>
      </c>
      <c r="Q101" s="31"/>
      <c r="R101" s="31"/>
      <c r="S101" s="33" t="s">
        <v>40</v>
      </c>
      <c r="T101" s="33"/>
      <c r="U101" s="33"/>
      <c r="V101" s="33"/>
      <c r="W101" s="32">
        <f>50000</f>
        <v>50000</v>
      </c>
      <c r="X101" s="32"/>
    </row>
    <row r="102" spans="1:24" s="1" customFormat="1" ht="13.5" customHeight="1">
      <c r="A102" s="29" t="s">
        <v>97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88</v>
      </c>
      <c r="M102" s="30"/>
      <c r="N102" s="30" t="s">
        <v>160</v>
      </c>
      <c r="O102" s="30"/>
      <c r="P102" s="31">
        <f>400000</f>
        <v>400000</v>
      </c>
      <c r="Q102" s="31"/>
      <c r="R102" s="31"/>
      <c r="S102" s="31">
        <f>231275.7</f>
        <v>231275.7</v>
      </c>
      <c r="T102" s="31"/>
      <c r="U102" s="31"/>
      <c r="V102" s="31"/>
      <c r="W102" s="32">
        <f>168724.3</f>
        <v>168724.3</v>
      </c>
      <c r="X102" s="32"/>
    </row>
    <row r="103" spans="1:24" s="1" customFormat="1" ht="13.5" customHeight="1">
      <c r="A103" s="29" t="s">
        <v>103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88</v>
      </c>
      <c r="M103" s="30"/>
      <c r="N103" s="30" t="s">
        <v>161</v>
      </c>
      <c r="O103" s="30"/>
      <c r="P103" s="31">
        <f>100000</f>
        <v>100000</v>
      </c>
      <c r="Q103" s="31"/>
      <c r="R103" s="31"/>
      <c r="S103" s="31">
        <f>28825</f>
        <v>28825</v>
      </c>
      <c r="T103" s="31"/>
      <c r="U103" s="31"/>
      <c r="V103" s="31"/>
      <c r="W103" s="32">
        <f>71175</f>
        <v>71175</v>
      </c>
      <c r="X103" s="32"/>
    </row>
    <row r="104" spans="1:24" s="1" customFormat="1" ht="13.5" customHeight="1">
      <c r="A104" s="29" t="s">
        <v>97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88</v>
      </c>
      <c r="M104" s="30"/>
      <c r="N104" s="30" t="s">
        <v>162</v>
      </c>
      <c r="O104" s="30"/>
      <c r="P104" s="31">
        <f>1403000</f>
        <v>1403000</v>
      </c>
      <c r="Q104" s="31"/>
      <c r="R104" s="31"/>
      <c r="S104" s="31">
        <f>348324</f>
        <v>348324</v>
      </c>
      <c r="T104" s="31"/>
      <c r="U104" s="31"/>
      <c r="V104" s="31"/>
      <c r="W104" s="32">
        <f>1054676</f>
        <v>1054676</v>
      </c>
      <c r="X104" s="32"/>
    </row>
    <row r="105" spans="1:24" s="1" customFormat="1" ht="13.5" customHeight="1">
      <c r="A105" s="29" t="s">
        <v>99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88</v>
      </c>
      <c r="M105" s="30"/>
      <c r="N105" s="30" t="s">
        <v>163</v>
      </c>
      <c r="O105" s="30"/>
      <c r="P105" s="31">
        <f>100000</f>
        <v>100000</v>
      </c>
      <c r="Q105" s="31"/>
      <c r="R105" s="31"/>
      <c r="S105" s="31">
        <f>54400</f>
        <v>54400</v>
      </c>
      <c r="T105" s="31"/>
      <c r="U105" s="31"/>
      <c r="V105" s="31"/>
      <c r="W105" s="32">
        <f>45600</f>
        <v>45600</v>
      </c>
      <c r="X105" s="32"/>
    </row>
    <row r="106" spans="1:24" s="1" customFormat="1" ht="13.5" customHeight="1">
      <c r="A106" s="29" t="s">
        <v>101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88</v>
      </c>
      <c r="M106" s="30"/>
      <c r="N106" s="30" t="s">
        <v>164</v>
      </c>
      <c r="O106" s="30"/>
      <c r="P106" s="31">
        <f>42000</f>
        <v>42000</v>
      </c>
      <c r="Q106" s="31"/>
      <c r="R106" s="31"/>
      <c r="S106" s="31">
        <f>42000</f>
        <v>42000</v>
      </c>
      <c r="T106" s="31"/>
      <c r="U106" s="31"/>
      <c r="V106" s="31"/>
      <c r="W106" s="32">
        <f>0</f>
        <v>0</v>
      </c>
      <c r="X106" s="32"/>
    </row>
    <row r="107" spans="1:24" s="1" customFormat="1" ht="13.5" customHeight="1">
      <c r="A107" s="29" t="s">
        <v>103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88</v>
      </c>
      <c r="M107" s="30"/>
      <c r="N107" s="30" t="s">
        <v>165</v>
      </c>
      <c r="O107" s="30"/>
      <c r="P107" s="31">
        <f>100000</f>
        <v>100000</v>
      </c>
      <c r="Q107" s="31"/>
      <c r="R107" s="31"/>
      <c r="S107" s="31">
        <f>31959</f>
        <v>31959</v>
      </c>
      <c r="T107" s="31"/>
      <c r="U107" s="31"/>
      <c r="V107" s="31"/>
      <c r="W107" s="32">
        <f>68041</f>
        <v>68041</v>
      </c>
      <c r="X107" s="32"/>
    </row>
    <row r="108" spans="1:24" s="1" customFormat="1" ht="13.5" customHeight="1">
      <c r="A108" s="29" t="s">
        <v>97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88</v>
      </c>
      <c r="M108" s="30"/>
      <c r="N108" s="30" t="s">
        <v>166</v>
      </c>
      <c r="O108" s="30"/>
      <c r="P108" s="31">
        <f>100000</f>
        <v>100000</v>
      </c>
      <c r="Q108" s="31"/>
      <c r="R108" s="31"/>
      <c r="S108" s="33" t="s">
        <v>40</v>
      </c>
      <c r="T108" s="33"/>
      <c r="U108" s="33"/>
      <c r="V108" s="33"/>
      <c r="W108" s="32">
        <f>100000</f>
        <v>100000</v>
      </c>
      <c r="X108" s="32"/>
    </row>
    <row r="109" spans="1:24" s="1" customFormat="1" ht="13.5" customHeight="1">
      <c r="A109" s="29" t="s">
        <v>99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88</v>
      </c>
      <c r="M109" s="30"/>
      <c r="N109" s="30" t="s">
        <v>167</v>
      </c>
      <c r="O109" s="30"/>
      <c r="P109" s="31">
        <f>26000</f>
        <v>26000</v>
      </c>
      <c r="Q109" s="31"/>
      <c r="R109" s="31"/>
      <c r="S109" s="33" t="s">
        <v>40</v>
      </c>
      <c r="T109" s="33"/>
      <c r="U109" s="33"/>
      <c r="V109" s="33"/>
      <c r="W109" s="32">
        <f>26000</f>
        <v>26000</v>
      </c>
      <c r="X109" s="32"/>
    </row>
    <row r="110" spans="1:24" s="1" customFormat="1" ht="13.5" customHeight="1">
      <c r="A110" s="29" t="s">
        <v>99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88</v>
      </c>
      <c r="M110" s="30"/>
      <c r="N110" s="30" t="s">
        <v>168</v>
      </c>
      <c r="O110" s="30"/>
      <c r="P110" s="31">
        <f>44000</f>
        <v>44000</v>
      </c>
      <c r="Q110" s="31"/>
      <c r="R110" s="31"/>
      <c r="S110" s="33" t="s">
        <v>40</v>
      </c>
      <c r="T110" s="33"/>
      <c r="U110" s="33"/>
      <c r="V110" s="33"/>
      <c r="W110" s="32">
        <f>44000</f>
        <v>44000</v>
      </c>
      <c r="X110" s="32"/>
    </row>
    <row r="111" spans="1:24" s="1" customFormat="1" ht="13.5" customHeight="1">
      <c r="A111" s="29" t="s">
        <v>97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88</v>
      </c>
      <c r="M111" s="30"/>
      <c r="N111" s="30" t="s">
        <v>169</v>
      </c>
      <c r="O111" s="30"/>
      <c r="P111" s="31">
        <f>2028200</f>
        <v>2028200</v>
      </c>
      <c r="Q111" s="31"/>
      <c r="R111" s="31"/>
      <c r="S111" s="31">
        <f>1737196</f>
        <v>1737196</v>
      </c>
      <c r="T111" s="31"/>
      <c r="U111" s="31"/>
      <c r="V111" s="31"/>
      <c r="W111" s="32">
        <f>291004</f>
        <v>291004</v>
      </c>
      <c r="X111" s="32"/>
    </row>
    <row r="112" spans="1:24" s="1" customFormat="1" ht="13.5" customHeight="1">
      <c r="A112" s="29" t="s">
        <v>99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88</v>
      </c>
      <c r="M112" s="30"/>
      <c r="N112" s="30" t="s">
        <v>170</v>
      </c>
      <c r="O112" s="30"/>
      <c r="P112" s="31">
        <f>104300</f>
        <v>104300</v>
      </c>
      <c r="Q112" s="31"/>
      <c r="R112" s="31"/>
      <c r="S112" s="31">
        <f>104300</f>
        <v>104300</v>
      </c>
      <c r="T112" s="31"/>
      <c r="U112" s="31"/>
      <c r="V112" s="31"/>
      <c r="W112" s="32">
        <f>0</f>
        <v>0</v>
      </c>
      <c r="X112" s="32"/>
    </row>
    <row r="113" spans="1:24" s="1" customFormat="1" ht="13.5" customHeight="1">
      <c r="A113" s="29" t="s">
        <v>101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88</v>
      </c>
      <c r="M113" s="30"/>
      <c r="N113" s="30" t="s">
        <v>171</v>
      </c>
      <c r="O113" s="30"/>
      <c r="P113" s="31">
        <f>40000</f>
        <v>40000</v>
      </c>
      <c r="Q113" s="31"/>
      <c r="R113" s="31"/>
      <c r="S113" s="31">
        <f>40000</f>
        <v>40000</v>
      </c>
      <c r="T113" s="31"/>
      <c r="U113" s="31"/>
      <c r="V113" s="31"/>
      <c r="W113" s="32">
        <f>0</f>
        <v>0</v>
      </c>
      <c r="X113" s="32"/>
    </row>
    <row r="114" spans="1:24" s="1" customFormat="1" ht="13.5" customHeight="1">
      <c r="A114" s="29" t="s">
        <v>103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88</v>
      </c>
      <c r="M114" s="30"/>
      <c r="N114" s="30" t="s">
        <v>172</v>
      </c>
      <c r="O114" s="30"/>
      <c r="P114" s="31">
        <f>607500</f>
        <v>607500</v>
      </c>
      <c r="Q114" s="31"/>
      <c r="R114" s="31"/>
      <c r="S114" s="31">
        <f>607433</f>
        <v>607433</v>
      </c>
      <c r="T114" s="31"/>
      <c r="U114" s="31"/>
      <c r="V114" s="31"/>
      <c r="W114" s="32">
        <f>67</f>
        <v>67</v>
      </c>
      <c r="X114" s="32"/>
    </row>
    <row r="115" spans="1:24" s="1" customFormat="1" ht="13.5" customHeight="1">
      <c r="A115" s="29" t="s">
        <v>173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88</v>
      </c>
      <c r="M115" s="30"/>
      <c r="N115" s="30" t="s">
        <v>174</v>
      </c>
      <c r="O115" s="30"/>
      <c r="P115" s="31">
        <f>10000</f>
        <v>10000</v>
      </c>
      <c r="Q115" s="31"/>
      <c r="R115" s="31"/>
      <c r="S115" s="33" t="s">
        <v>40</v>
      </c>
      <c r="T115" s="33"/>
      <c r="U115" s="33"/>
      <c r="V115" s="33"/>
      <c r="W115" s="32">
        <f>10000</f>
        <v>10000</v>
      </c>
      <c r="X115" s="32"/>
    </row>
    <row r="116" spans="1:24" s="1" customFormat="1" ht="13.5" customHeight="1">
      <c r="A116" s="29" t="s">
        <v>173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88</v>
      </c>
      <c r="M116" s="30"/>
      <c r="N116" s="30" t="s">
        <v>175</v>
      </c>
      <c r="O116" s="30"/>
      <c r="P116" s="31">
        <f>100000</f>
        <v>100000</v>
      </c>
      <c r="Q116" s="31"/>
      <c r="R116" s="31"/>
      <c r="S116" s="33" t="s">
        <v>40</v>
      </c>
      <c r="T116" s="33"/>
      <c r="U116" s="33"/>
      <c r="V116" s="33"/>
      <c r="W116" s="32">
        <f>100000</f>
        <v>100000</v>
      </c>
      <c r="X116" s="32"/>
    </row>
    <row r="117" spans="1:24" s="1" customFormat="1" ht="13.5" customHeight="1">
      <c r="A117" s="29" t="s">
        <v>173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88</v>
      </c>
      <c r="M117" s="30"/>
      <c r="N117" s="30" t="s">
        <v>176</v>
      </c>
      <c r="O117" s="30"/>
      <c r="P117" s="31">
        <f>93800</f>
        <v>93800</v>
      </c>
      <c r="Q117" s="31"/>
      <c r="R117" s="31"/>
      <c r="S117" s="31">
        <f>46900</f>
        <v>46900</v>
      </c>
      <c r="T117" s="31"/>
      <c r="U117" s="31"/>
      <c r="V117" s="31"/>
      <c r="W117" s="32">
        <f>46900</f>
        <v>46900</v>
      </c>
      <c r="X117" s="32"/>
    </row>
    <row r="118" spans="1:24" s="1" customFormat="1" ht="13.5" customHeight="1">
      <c r="A118" s="29" t="s">
        <v>173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88</v>
      </c>
      <c r="M118" s="30"/>
      <c r="N118" s="30" t="s">
        <v>177</v>
      </c>
      <c r="O118" s="30"/>
      <c r="P118" s="31">
        <f>1354100</f>
        <v>1354100</v>
      </c>
      <c r="Q118" s="31"/>
      <c r="R118" s="31"/>
      <c r="S118" s="31">
        <f>677050</f>
        <v>677050</v>
      </c>
      <c r="T118" s="31"/>
      <c r="U118" s="31"/>
      <c r="V118" s="31"/>
      <c r="W118" s="32">
        <f>677050</f>
        <v>677050</v>
      </c>
      <c r="X118" s="32"/>
    </row>
    <row r="119" spans="1:24" s="1" customFormat="1" ht="13.5" customHeight="1">
      <c r="A119" s="29" t="s">
        <v>173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88</v>
      </c>
      <c r="M119" s="30"/>
      <c r="N119" s="30" t="s">
        <v>178</v>
      </c>
      <c r="O119" s="30"/>
      <c r="P119" s="31">
        <f>5711000</f>
        <v>5711000</v>
      </c>
      <c r="Q119" s="31"/>
      <c r="R119" s="31"/>
      <c r="S119" s="31">
        <f>3036350</f>
        <v>3036350</v>
      </c>
      <c r="T119" s="31"/>
      <c r="U119" s="31"/>
      <c r="V119" s="31"/>
      <c r="W119" s="32">
        <f>2674650</f>
        <v>2674650</v>
      </c>
      <c r="X119" s="32"/>
    </row>
    <row r="120" spans="1:24" s="1" customFormat="1" ht="13.5" customHeight="1">
      <c r="A120" s="29" t="s">
        <v>173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88</v>
      </c>
      <c r="M120" s="30"/>
      <c r="N120" s="30" t="s">
        <v>179</v>
      </c>
      <c r="O120" s="30"/>
      <c r="P120" s="31">
        <f>30000</f>
        <v>30000</v>
      </c>
      <c r="Q120" s="31"/>
      <c r="R120" s="31"/>
      <c r="S120" s="31">
        <f>30000</f>
        <v>30000</v>
      </c>
      <c r="T120" s="31"/>
      <c r="U120" s="31"/>
      <c r="V120" s="31"/>
      <c r="W120" s="32">
        <f>0</f>
        <v>0</v>
      </c>
      <c r="X120" s="32"/>
    </row>
    <row r="121" spans="1:24" s="1" customFormat="1" ht="13.5" customHeight="1">
      <c r="A121" s="29" t="s">
        <v>99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88</v>
      </c>
      <c r="M121" s="30"/>
      <c r="N121" s="30" t="s">
        <v>180</v>
      </c>
      <c r="O121" s="30"/>
      <c r="P121" s="31">
        <f>100000</f>
        <v>100000</v>
      </c>
      <c r="Q121" s="31"/>
      <c r="R121" s="31"/>
      <c r="S121" s="31">
        <f>70000</f>
        <v>70000</v>
      </c>
      <c r="T121" s="31"/>
      <c r="U121" s="31"/>
      <c r="V121" s="31"/>
      <c r="W121" s="32">
        <f>30000</f>
        <v>30000</v>
      </c>
      <c r="X121" s="32"/>
    </row>
    <row r="122" spans="1:24" s="1" customFormat="1" ht="13.5" customHeight="1">
      <c r="A122" s="29" t="s">
        <v>103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88</v>
      </c>
      <c r="M122" s="30"/>
      <c r="N122" s="30" t="s">
        <v>181</v>
      </c>
      <c r="O122" s="30"/>
      <c r="P122" s="31">
        <f>100000</f>
        <v>100000</v>
      </c>
      <c r="Q122" s="31"/>
      <c r="R122" s="31"/>
      <c r="S122" s="31">
        <f>15140</f>
        <v>15140</v>
      </c>
      <c r="T122" s="31"/>
      <c r="U122" s="31"/>
      <c r="V122" s="31"/>
      <c r="W122" s="32">
        <f>84860</f>
        <v>84860</v>
      </c>
      <c r="X122" s="32"/>
    </row>
    <row r="123" spans="1:24" s="1" customFormat="1" ht="13.5" customHeight="1">
      <c r="A123" s="29" t="s">
        <v>99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88</v>
      </c>
      <c r="M123" s="30"/>
      <c r="N123" s="30" t="s">
        <v>182</v>
      </c>
      <c r="O123" s="30"/>
      <c r="P123" s="31">
        <f>100000</f>
        <v>100000</v>
      </c>
      <c r="Q123" s="31"/>
      <c r="R123" s="31"/>
      <c r="S123" s="33" t="s">
        <v>40</v>
      </c>
      <c r="T123" s="33"/>
      <c r="U123" s="33"/>
      <c r="V123" s="33"/>
      <c r="W123" s="32">
        <f>100000</f>
        <v>100000</v>
      </c>
      <c r="X123" s="32"/>
    </row>
    <row r="124" spans="1:24" s="1" customFormat="1" ht="13.5" customHeight="1">
      <c r="A124" s="29" t="s">
        <v>103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88</v>
      </c>
      <c r="M124" s="30"/>
      <c r="N124" s="30" t="s">
        <v>183</v>
      </c>
      <c r="O124" s="30"/>
      <c r="P124" s="31">
        <f>100000</f>
        <v>100000</v>
      </c>
      <c r="Q124" s="31"/>
      <c r="R124" s="31"/>
      <c r="S124" s="33" t="s">
        <v>40</v>
      </c>
      <c r="T124" s="33"/>
      <c r="U124" s="33"/>
      <c r="V124" s="33"/>
      <c r="W124" s="32">
        <f>100000</f>
        <v>100000</v>
      </c>
      <c r="X124" s="32"/>
    </row>
    <row r="125" spans="1:24" s="1" customFormat="1" ht="13.5" customHeight="1">
      <c r="A125" s="29" t="s">
        <v>103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88</v>
      </c>
      <c r="M125" s="30"/>
      <c r="N125" s="30" t="s">
        <v>184</v>
      </c>
      <c r="O125" s="30"/>
      <c r="P125" s="31">
        <f>100000</f>
        <v>100000</v>
      </c>
      <c r="Q125" s="31"/>
      <c r="R125" s="31"/>
      <c r="S125" s="33" t="s">
        <v>40</v>
      </c>
      <c r="T125" s="33"/>
      <c r="U125" s="33"/>
      <c r="V125" s="33"/>
      <c r="W125" s="32">
        <f>100000</f>
        <v>100000</v>
      </c>
      <c r="X125" s="32"/>
    </row>
    <row r="126" spans="1:24" s="1" customFormat="1" ht="13.5" customHeight="1">
      <c r="A126" s="29" t="s">
        <v>105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88</v>
      </c>
      <c r="M126" s="30"/>
      <c r="N126" s="30" t="s">
        <v>185</v>
      </c>
      <c r="O126" s="30"/>
      <c r="P126" s="31">
        <f>48400</f>
        <v>48400</v>
      </c>
      <c r="Q126" s="31"/>
      <c r="R126" s="31"/>
      <c r="S126" s="31">
        <f>48396</f>
        <v>48396</v>
      </c>
      <c r="T126" s="31"/>
      <c r="U126" s="31"/>
      <c r="V126" s="31"/>
      <c r="W126" s="32">
        <f>4</f>
        <v>4</v>
      </c>
      <c r="X126" s="32"/>
    </row>
    <row r="127" spans="1:24" s="1" customFormat="1" ht="13.5" customHeight="1">
      <c r="A127" s="29" t="s">
        <v>103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88</v>
      </c>
      <c r="M127" s="30"/>
      <c r="N127" s="30" t="s">
        <v>186</v>
      </c>
      <c r="O127" s="30"/>
      <c r="P127" s="31">
        <f>51600</f>
        <v>51600</v>
      </c>
      <c r="Q127" s="31"/>
      <c r="R127" s="31"/>
      <c r="S127" s="33" t="s">
        <v>40</v>
      </c>
      <c r="T127" s="33"/>
      <c r="U127" s="33"/>
      <c r="V127" s="33"/>
      <c r="W127" s="32">
        <f>51600</f>
        <v>51600</v>
      </c>
      <c r="X127" s="32"/>
    </row>
    <row r="128" spans="1:24" s="1" customFormat="1" ht="24" customHeight="1">
      <c r="A128" s="29" t="s">
        <v>187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88</v>
      </c>
      <c r="M128" s="30"/>
      <c r="N128" s="30" t="s">
        <v>188</v>
      </c>
      <c r="O128" s="30"/>
      <c r="P128" s="31">
        <f>108000</f>
        <v>108000</v>
      </c>
      <c r="Q128" s="31"/>
      <c r="R128" s="31"/>
      <c r="S128" s="31">
        <f>49639.52</f>
        <v>49639.52</v>
      </c>
      <c r="T128" s="31"/>
      <c r="U128" s="31"/>
      <c r="V128" s="31"/>
      <c r="W128" s="32">
        <f>58360.48</f>
        <v>58360.48</v>
      </c>
      <c r="X128" s="32"/>
    </row>
    <row r="129" spans="1:24" s="1" customFormat="1" ht="13.5" customHeight="1">
      <c r="A129" s="29" t="s">
        <v>173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88</v>
      </c>
      <c r="M129" s="30"/>
      <c r="N129" s="30" t="s">
        <v>189</v>
      </c>
      <c r="O129" s="30"/>
      <c r="P129" s="31">
        <f>1172500</f>
        <v>1172500</v>
      </c>
      <c r="Q129" s="31"/>
      <c r="R129" s="31"/>
      <c r="S129" s="31">
        <f>646000</f>
        <v>646000</v>
      </c>
      <c r="T129" s="31"/>
      <c r="U129" s="31"/>
      <c r="V129" s="31"/>
      <c r="W129" s="32">
        <f>526500</f>
        <v>526500</v>
      </c>
      <c r="X129" s="32"/>
    </row>
    <row r="130" spans="1:24" s="1" customFormat="1" ht="13.5" customHeight="1">
      <c r="A130" s="29" t="s">
        <v>99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88</v>
      </c>
      <c r="M130" s="30"/>
      <c r="N130" s="30" t="s">
        <v>190</v>
      </c>
      <c r="O130" s="30"/>
      <c r="P130" s="31">
        <f>150000</f>
        <v>150000</v>
      </c>
      <c r="Q130" s="31"/>
      <c r="R130" s="31"/>
      <c r="S130" s="31">
        <f>87100</f>
        <v>87100</v>
      </c>
      <c r="T130" s="31"/>
      <c r="U130" s="31"/>
      <c r="V130" s="31"/>
      <c r="W130" s="32">
        <f>62900</f>
        <v>62900</v>
      </c>
      <c r="X130" s="32"/>
    </row>
    <row r="131" spans="1:24" s="1" customFormat="1" ht="13.5" customHeight="1">
      <c r="A131" s="29" t="s">
        <v>103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88</v>
      </c>
      <c r="M131" s="30"/>
      <c r="N131" s="30" t="s">
        <v>191</v>
      </c>
      <c r="O131" s="30"/>
      <c r="P131" s="31">
        <f>150000</f>
        <v>150000</v>
      </c>
      <c r="Q131" s="31"/>
      <c r="R131" s="31"/>
      <c r="S131" s="31">
        <f>49700</f>
        <v>49700</v>
      </c>
      <c r="T131" s="31"/>
      <c r="U131" s="31"/>
      <c r="V131" s="31"/>
      <c r="W131" s="32">
        <f>100300</f>
        <v>100300</v>
      </c>
      <c r="X131" s="32"/>
    </row>
    <row r="132" spans="1:24" s="1" customFormat="1" ht="13.5" customHeight="1">
      <c r="A132" s="29" t="s">
        <v>192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88</v>
      </c>
      <c r="M132" s="30"/>
      <c r="N132" s="30" t="s">
        <v>193</v>
      </c>
      <c r="O132" s="30"/>
      <c r="P132" s="31">
        <f>4005.53</f>
        <v>4005.53</v>
      </c>
      <c r="Q132" s="31"/>
      <c r="R132" s="31"/>
      <c r="S132" s="33" t="s">
        <v>40</v>
      </c>
      <c r="T132" s="33"/>
      <c r="U132" s="33"/>
      <c r="V132" s="33"/>
      <c r="W132" s="32">
        <f>4005.53</f>
        <v>4005.53</v>
      </c>
      <c r="X132" s="32"/>
    </row>
    <row r="133" spans="1:24" s="1" customFormat="1" ht="15" customHeight="1">
      <c r="A133" s="34" t="s">
        <v>194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5" t="s">
        <v>195</v>
      </c>
      <c r="M133" s="35"/>
      <c r="N133" s="35" t="s">
        <v>37</v>
      </c>
      <c r="O133" s="35"/>
      <c r="P133" s="36">
        <f>-8824305.53</f>
        <v>-8824305.53</v>
      </c>
      <c r="Q133" s="36"/>
      <c r="R133" s="36"/>
      <c r="S133" s="36">
        <f>-3895612.29</f>
        <v>-3895612.29</v>
      </c>
      <c r="T133" s="36"/>
      <c r="U133" s="36"/>
      <c r="V133" s="36"/>
      <c r="W133" s="37" t="s">
        <v>37</v>
      </c>
      <c r="X133" s="37"/>
    </row>
    <row r="134" spans="1:24" s="1" customFormat="1" ht="13.5" customHeight="1">
      <c r="A134" s="7" t="s">
        <v>13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12" t="s">
        <v>196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s="1" customFormat="1" ht="45.75" customHeight="1">
      <c r="A136" s="13" t="s">
        <v>23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 t="s">
        <v>24</v>
      </c>
      <c r="M136" s="13"/>
      <c r="N136" s="13" t="s">
        <v>197</v>
      </c>
      <c r="O136" s="13"/>
      <c r="P136" s="14" t="s">
        <v>26</v>
      </c>
      <c r="Q136" s="14"/>
      <c r="R136" s="14"/>
      <c r="S136" s="14" t="s">
        <v>27</v>
      </c>
      <c r="T136" s="14"/>
      <c r="U136" s="14"/>
      <c r="V136" s="14"/>
      <c r="W136" s="15" t="s">
        <v>28</v>
      </c>
      <c r="X136" s="15"/>
    </row>
    <row r="137" spans="1:24" s="1" customFormat="1" ht="12.75" customHeight="1">
      <c r="A137" s="16" t="s">
        <v>29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 t="s">
        <v>30</v>
      </c>
      <c r="M137" s="16"/>
      <c r="N137" s="16" t="s">
        <v>31</v>
      </c>
      <c r="O137" s="16"/>
      <c r="P137" s="17" t="s">
        <v>32</v>
      </c>
      <c r="Q137" s="17"/>
      <c r="R137" s="17"/>
      <c r="S137" s="17" t="s">
        <v>33</v>
      </c>
      <c r="T137" s="17"/>
      <c r="U137" s="17"/>
      <c r="V137" s="17"/>
      <c r="W137" s="18" t="s">
        <v>34</v>
      </c>
      <c r="X137" s="18"/>
    </row>
    <row r="138" spans="1:24" s="1" customFormat="1" ht="13.5" customHeight="1">
      <c r="A138" s="19" t="s">
        <v>198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20" t="s">
        <v>199</v>
      </c>
      <c r="M138" s="20"/>
      <c r="N138" s="20" t="s">
        <v>37</v>
      </c>
      <c r="O138" s="20"/>
      <c r="P138" s="38">
        <f>8824305.53</f>
        <v>8824305.53</v>
      </c>
      <c r="Q138" s="38"/>
      <c r="R138" s="38"/>
      <c r="S138" s="21">
        <f>3895612.29</f>
        <v>3895612.29</v>
      </c>
      <c r="T138" s="21"/>
      <c r="U138" s="21"/>
      <c r="V138" s="21"/>
      <c r="W138" s="39">
        <f>4928693.24</f>
        <v>4928693.24</v>
      </c>
      <c r="X138" s="39"/>
    </row>
    <row r="139" spans="1:24" s="1" customFormat="1" ht="13.5" customHeight="1">
      <c r="A139" s="40" t="s">
        <v>200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1" t="s">
        <v>13</v>
      </c>
      <c r="M139" s="41"/>
      <c r="N139" s="41" t="s">
        <v>13</v>
      </c>
      <c r="O139" s="41"/>
      <c r="P139" s="42" t="s">
        <v>13</v>
      </c>
      <c r="Q139" s="42"/>
      <c r="R139" s="42"/>
      <c r="S139" s="43" t="s">
        <v>13</v>
      </c>
      <c r="T139" s="43"/>
      <c r="U139" s="43"/>
      <c r="V139" s="43"/>
      <c r="W139" s="44" t="s">
        <v>13</v>
      </c>
      <c r="X139" s="44"/>
    </row>
    <row r="140" spans="1:24" s="1" customFormat="1" ht="13.5" customHeight="1">
      <c r="A140" s="23" t="s">
        <v>201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45" t="s">
        <v>202</v>
      </c>
      <c r="M140" s="45"/>
      <c r="N140" s="24" t="s">
        <v>37</v>
      </c>
      <c r="O140" s="24"/>
      <c r="P140" s="46">
        <f>3834000</f>
        <v>3834000</v>
      </c>
      <c r="Q140" s="46"/>
      <c r="R140" s="46"/>
      <c r="S140" s="25" t="s">
        <v>40</v>
      </c>
      <c r="T140" s="25"/>
      <c r="U140" s="25"/>
      <c r="V140" s="25"/>
      <c r="W140" s="47">
        <f>3834000</f>
        <v>3834000</v>
      </c>
      <c r="X140" s="47"/>
    </row>
    <row r="141" spans="1:24" s="1" customFormat="1" ht="24" customHeight="1">
      <c r="A141" s="29" t="s">
        <v>203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202</v>
      </c>
      <c r="M141" s="30"/>
      <c r="N141" s="30" t="s">
        <v>204</v>
      </c>
      <c r="O141" s="30"/>
      <c r="P141" s="48">
        <f>3834000</f>
        <v>3834000</v>
      </c>
      <c r="Q141" s="48"/>
      <c r="R141" s="48"/>
      <c r="S141" s="33" t="s">
        <v>40</v>
      </c>
      <c r="T141" s="33"/>
      <c r="U141" s="33"/>
      <c r="V141" s="33"/>
      <c r="W141" s="49">
        <f>3834000</f>
        <v>3834000</v>
      </c>
      <c r="X141" s="49"/>
    </row>
    <row r="142" spans="1:24" s="1" customFormat="1" ht="0.75" customHeight="1">
      <c r="A142" s="50" t="s">
        <v>13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s="1" customFormat="1" ht="13.5" customHeight="1">
      <c r="A143" s="29" t="s">
        <v>205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41" t="s">
        <v>206</v>
      </c>
      <c r="M143" s="41"/>
      <c r="N143" s="41" t="s">
        <v>37</v>
      </c>
      <c r="O143" s="41"/>
      <c r="P143" s="42" t="s">
        <v>40</v>
      </c>
      <c r="Q143" s="42"/>
      <c r="R143" s="42"/>
      <c r="S143" s="33" t="s">
        <v>40</v>
      </c>
      <c r="T143" s="33"/>
      <c r="U143" s="33"/>
      <c r="V143" s="33"/>
      <c r="W143" s="44" t="s">
        <v>40</v>
      </c>
      <c r="X143" s="44"/>
    </row>
    <row r="144" spans="1:24" s="1" customFormat="1" ht="13.5" customHeight="1">
      <c r="A144" s="29" t="s">
        <v>13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206</v>
      </c>
      <c r="M144" s="30"/>
      <c r="N144" s="30" t="s">
        <v>13</v>
      </c>
      <c r="O144" s="30"/>
      <c r="P144" s="51" t="s">
        <v>40</v>
      </c>
      <c r="Q144" s="51"/>
      <c r="R144" s="51"/>
      <c r="S144" s="33" t="s">
        <v>40</v>
      </c>
      <c r="T144" s="33"/>
      <c r="U144" s="33"/>
      <c r="V144" s="33"/>
      <c r="W144" s="52" t="s">
        <v>40</v>
      </c>
      <c r="X144" s="52"/>
    </row>
    <row r="145" spans="1:24" s="1" customFormat="1" ht="13.5" customHeight="1">
      <c r="A145" s="29" t="s">
        <v>207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208</v>
      </c>
      <c r="M145" s="30"/>
      <c r="N145" s="30" t="s">
        <v>209</v>
      </c>
      <c r="O145" s="30"/>
      <c r="P145" s="48">
        <f>4990305.53</f>
        <v>4990305.53</v>
      </c>
      <c r="Q145" s="48"/>
      <c r="R145" s="48"/>
      <c r="S145" s="31">
        <f>3895612.29</f>
        <v>3895612.29</v>
      </c>
      <c r="T145" s="31"/>
      <c r="U145" s="31"/>
      <c r="V145" s="31"/>
      <c r="W145" s="49">
        <f>1094693.24</f>
        <v>1094693.24</v>
      </c>
      <c r="X145" s="49"/>
    </row>
    <row r="146" spans="1:24" s="1" customFormat="1" ht="13.5" customHeight="1">
      <c r="A146" s="29" t="s">
        <v>210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211</v>
      </c>
      <c r="M146" s="30"/>
      <c r="N146" s="30" t="s">
        <v>212</v>
      </c>
      <c r="O146" s="30"/>
      <c r="P146" s="48">
        <f>-34315800</f>
        <v>-34315800</v>
      </c>
      <c r="Q146" s="48"/>
      <c r="R146" s="48"/>
      <c r="S146" s="31">
        <f>-10909266.96</f>
        <v>-10909266.96</v>
      </c>
      <c r="T146" s="31"/>
      <c r="U146" s="31"/>
      <c r="V146" s="31"/>
      <c r="W146" s="53" t="s">
        <v>37</v>
      </c>
      <c r="X146" s="53"/>
    </row>
    <row r="147" spans="1:24" s="1" customFormat="1" ht="13.5" customHeight="1">
      <c r="A147" s="29" t="s">
        <v>213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214</v>
      </c>
      <c r="M147" s="30"/>
      <c r="N147" s="30" t="s">
        <v>215</v>
      </c>
      <c r="O147" s="30"/>
      <c r="P147" s="48">
        <f>39306105.53</f>
        <v>39306105.53</v>
      </c>
      <c r="Q147" s="48"/>
      <c r="R147" s="48"/>
      <c r="S147" s="31">
        <f>14804879.25</f>
        <v>14804879.25</v>
      </c>
      <c r="T147" s="31"/>
      <c r="U147" s="31"/>
      <c r="V147" s="31"/>
      <c r="W147" s="53" t="s">
        <v>37</v>
      </c>
      <c r="X147" s="53"/>
    </row>
    <row r="148" spans="1:24" s="1" customFormat="1" ht="13.5" customHeight="1">
      <c r="A148" s="55" t="s">
        <v>13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1:24" s="1" customFormat="1" ht="13.5" customHeight="1">
      <c r="A149" s="7" t="s">
        <v>13</v>
      </c>
      <c r="B149" s="7"/>
      <c r="C149" s="7"/>
      <c r="D149" s="7"/>
      <c r="E149" s="7"/>
      <c r="F149" s="7"/>
      <c r="G149" s="7"/>
      <c r="H149" s="7"/>
      <c r="I149" s="54" t="s">
        <v>13</v>
      </c>
      <c r="J149" s="54"/>
      <c r="K149" s="54"/>
      <c r="L149" s="54"/>
      <c r="M149" s="54"/>
      <c r="N149" s="54" t="s">
        <v>216</v>
      </c>
      <c r="O149" s="54"/>
      <c r="P149" s="54"/>
      <c r="Q149" s="54"/>
      <c r="R149" s="7" t="s">
        <v>13</v>
      </c>
      <c r="S149" s="7"/>
      <c r="T149" s="7"/>
      <c r="U149" s="7"/>
      <c r="V149" s="7"/>
      <c r="W149" s="7"/>
      <c r="X149" s="7"/>
    </row>
    <row r="150" spans="1:24" s="1" customFormat="1" ht="13.5" customHeight="1">
      <c r="A150" s="7" t="s">
        <v>13</v>
      </c>
      <c r="B150" s="7"/>
      <c r="C150" s="7"/>
      <c r="D150" s="7"/>
      <c r="E150" s="7"/>
      <c r="F150" s="7"/>
      <c r="G150" s="7"/>
      <c r="H150" s="7"/>
      <c r="I150" s="10" t="s">
        <v>13</v>
      </c>
      <c r="J150" s="56" t="s">
        <v>217</v>
      </c>
      <c r="K150" s="56"/>
      <c r="L150" s="56"/>
      <c r="M150" s="10" t="s">
        <v>13</v>
      </c>
      <c r="N150" s="10" t="s">
        <v>13</v>
      </c>
      <c r="O150" s="56" t="s">
        <v>218</v>
      </c>
      <c r="P150" s="56"/>
      <c r="Q150" s="7" t="s">
        <v>13</v>
      </c>
      <c r="R150" s="7"/>
      <c r="S150" s="7"/>
      <c r="T150" s="7"/>
      <c r="U150" s="7"/>
      <c r="V150" s="7"/>
      <c r="W150" s="7"/>
      <c r="X150" s="7"/>
    </row>
    <row r="151" spans="1:24" s="1" customFormat="1" ht="7.5" customHeight="1">
      <c r="A151" s="7" t="s">
        <v>13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s="1" customFormat="1" ht="13.5" customHeight="1">
      <c r="A152" s="7" t="s">
        <v>13</v>
      </c>
      <c r="B152" s="7"/>
      <c r="C152" s="7"/>
      <c r="D152" s="7"/>
      <c r="E152" s="7"/>
      <c r="F152" s="7"/>
      <c r="G152" s="7"/>
      <c r="H152" s="7"/>
      <c r="I152" s="54" t="s">
        <v>13</v>
      </c>
      <c r="J152" s="54"/>
      <c r="K152" s="54"/>
      <c r="L152" s="54"/>
      <c r="M152" s="54"/>
      <c r="N152" s="54" t="s">
        <v>219</v>
      </c>
      <c r="O152" s="54"/>
      <c r="P152" s="54"/>
      <c r="Q152" s="54"/>
      <c r="R152" s="7" t="s">
        <v>13</v>
      </c>
      <c r="S152" s="7"/>
      <c r="T152" s="7"/>
      <c r="U152" s="7"/>
      <c r="V152" s="7"/>
      <c r="W152" s="7"/>
      <c r="X152" s="7"/>
    </row>
    <row r="153" spans="1:24" s="1" customFormat="1" ht="13.5" customHeight="1">
      <c r="A153" s="7" t="s">
        <v>13</v>
      </c>
      <c r="B153" s="7"/>
      <c r="C153" s="7"/>
      <c r="D153" s="7"/>
      <c r="E153" s="7"/>
      <c r="F153" s="7"/>
      <c r="G153" s="7"/>
      <c r="H153" s="7"/>
      <c r="I153" s="10" t="s">
        <v>13</v>
      </c>
      <c r="J153" s="56" t="s">
        <v>217</v>
      </c>
      <c r="K153" s="56"/>
      <c r="L153" s="56"/>
      <c r="M153" s="10" t="s">
        <v>13</v>
      </c>
      <c r="N153" s="10" t="s">
        <v>13</v>
      </c>
      <c r="O153" s="56" t="s">
        <v>218</v>
      </c>
      <c r="P153" s="56"/>
      <c r="Q153" s="7" t="s">
        <v>13</v>
      </c>
      <c r="R153" s="7"/>
      <c r="S153" s="7"/>
      <c r="T153" s="7"/>
      <c r="U153" s="7"/>
      <c r="V153" s="7"/>
      <c r="W153" s="7"/>
      <c r="X153" s="7"/>
    </row>
    <row r="154" spans="1:24" s="1" customFormat="1" ht="7.5" customHeight="1">
      <c r="A154" s="7" t="s">
        <v>13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s="1" customFormat="1" ht="13.5" customHeight="1">
      <c r="A155" s="7" t="s">
        <v>220</v>
      </c>
      <c r="B155" s="7"/>
      <c r="C155" s="54" t="s">
        <v>13</v>
      </c>
      <c r="D155" s="54"/>
      <c r="E155" s="54"/>
      <c r="F155" s="54"/>
      <c r="G155" s="54"/>
      <c r="H155" s="54"/>
      <c r="I155" s="54" t="s">
        <v>13</v>
      </c>
      <c r="J155" s="54"/>
      <c r="K155" s="54"/>
      <c r="L155" s="54"/>
      <c r="M155" s="54"/>
      <c r="N155" s="54" t="s">
        <v>221</v>
      </c>
      <c r="O155" s="54"/>
      <c r="P155" s="54"/>
      <c r="Q155" s="54"/>
      <c r="R155" s="7" t="s">
        <v>13</v>
      </c>
      <c r="S155" s="7"/>
      <c r="T155" s="7"/>
      <c r="U155" s="7"/>
      <c r="V155" s="7"/>
      <c r="W155" s="7"/>
      <c r="X155" s="7"/>
    </row>
    <row r="156" spans="1:24" s="1" customFormat="1" ht="13.5" customHeight="1">
      <c r="A156" s="7" t="s">
        <v>13</v>
      </c>
      <c r="B156" s="7"/>
      <c r="C156" s="10" t="s">
        <v>13</v>
      </c>
      <c r="D156" s="56" t="s">
        <v>222</v>
      </c>
      <c r="E156" s="56"/>
      <c r="F156" s="56"/>
      <c r="G156" s="56"/>
      <c r="H156" s="10" t="s">
        <v>13</v>
      </c>
      <c r="I156" s="10" t="s">
        <v>13</v>
      </c>
      <c r="J156" s="56" t="s">
        <v>217</v>
      </c>
      <c r="K156" s="56"/>
      <c r="L156" s="56"/>
      <c r="M156" s="10" t="s">
        <v>13</v>
      </c>
      <c r="N156" s="10" t="s">
        <v>13</v>
      </c>
      <c r="O156" s="56" t="s">
        <v>218</v>
      </c>
      <c r="P156" s="56"/>
      <c r="Q156" s="7" t="s">
        <v>13</v>
      </c>
      <c r="R156" s="7"/>
      <c r="S156" s="7"/>
      <c r="T156" s="7"/>
      <c r="U156" s="7"/>
      <c r="V156" s="7"/>
      <c r="W156" s="7"/>
      <c r="X156" s="7"/>
    </row>
    <row r="157" spans="1:24" s="1" customFormat="1" ht="15.75" customHeight="1">
      <c r="A157" s="7" t="s">
        <v>13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s="1" customFormat="1" ht="13.5" customHeight="1">
      <c r="A158" s="57" t="s">
        <v>223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7" t="s">
        <v>13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s="1" customFormat="1" ht="13.5" customHeight="1">
      <c r="A159" s="4" t="s">
        <v>224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</sheetData>
  <sheetProtection/>
  <mergeCells count="852">
    <mergeCell ref="A158:J158"/>
    <mergeCell ref="K158:X158"/>
    <mergeCell ref="A159:X159"/>
    <mergeCell ref="A156:B156"/>
    <mergeCell ref="D156:G156"/>
    <mergeCell ref="J156:L156"/>
    <mergeCell ref="O156:P156"/>
    <mergeCell ref="Q156:X156"/>
    <mergeCell ref="A157:X157"/>
    <mergeCell ref="A154:X154"/>
    <mergeCell ref="A155:B155"/>
    <mergeCell ref="C155:H155"/>
    <mergeCell ref="I155:M155"/>
    <mergeCell ref="N155:Q155"/>
    <mergeCell ref="R155:X155"/>
    <mergeCell ref="A151:X151"/>
    <mergeCell ref="A152:H152"/>
    <mergeCell ref="I152:M152"/>
    <mergeCell ref="N152:Q152"/>
    <mergeCell ref="R152:X152"/>
    <mergeCell ref="A153:H153"/>
    <mergeCell ref="J153:L153"/>
    <mergeCell ref="O153:P153"/>
    <mergeCell ref="Q153:X153"/>
    <mergeCell ref="A148:X148"/>
    <mergeCell ref="A149:H149"/>
    <mergeCell ref="I149:M149"/>
    <mergeCell ref="N149:Q149"/>
    <mergeCell ref="R149:X149"/>
    <mergeCell ref="A150:H150"/>
    <mergeCell ref="J150:L150"/>
    <mergeCell ref="O150:P150"/>
    <mergeCell ref="Q150:X150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2:X142"/>
    <mergeCell ref="A143:K143"/>
    <mergeCell ref="L143:M143"/>
    <mergeCell ref="N143:O143"/>
    <mergeCell ref="P143:R143"/>
    <mergeCell ref="S143:V143"/>
    <mergeCell ref="W143:X143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4:X134"/>
    <mergeCell ref="A135:X135"/>
    <mergeCell ref="A136:K136"/>
    <mergeCell ref="L136:M136"/>
    <mergeCell ref="N136:O136"/>
    <mergeCell ref="P136:R136"/>
    <mergeCell ref="S136:V136"/>
    <mergeCell ref="W136:X136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2015-10-12T10:28:32Z</dcterms:created>
  <dcterms:modified xsi:type="dcterms:W3CDTF">2015-10-12T10:28:32Z</dcterms:modified>
  <cp:category/>
  <cp:version/>
  <cp:contentType/>
  <cp:contentStatus/>
</cp:coreProperties>
</file>