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 refMode="R1C1"/>
</workbook>
</file>

<file path=xl/sharedStrings.xml><?xml version="1.0" encoding="utf-8"?>
<sst xmlns="http://schemas.openxmlformats.org/spreadsheetml/2006/main" count="500" uniqueCount="226">
  <si>
    <t>ОТЧЕТ ОБ ИСПОЛНЕНИИ БЮДЖЕТА</t>
  </si>
  <si>
    <t>КОДЫ</t>
  </si>
  <si>
    <t xml:space="preserve">Форма по ОКУД </t>
  </si>
  <si>
    <t>0503117</t>
  </si>
  <si>
    <t>на 1 октября 2022 г.</t>
  </si>
  <si>
    <t xml:space="preserve">Дата </t>
  </si>
  <si>
    <t>Наименование финансового органа</t>
  </si>
  <si>
    <t>Администрация Пластуновского сельского поселения</t>
  </si>
  <si>
    <t xml:space="preserve">по ОКПО </t>
  </si>
  <si>
    <t xml:space="preserve">Глава по БК </t>
  </si>
  <si>
    <t>04090508</t>
  </si>
  <si>
    <t>992</t>
  </si>
  <si>
    <t>Наименование публично-правового образования</t>
  </si>
  <si>
    <t xml:space="preserve">по ОКТМО </t>
  </si>
  <si>
    <t>03614422</t>
  </si>
  <si>
    <t>Периодичность:</t>
  </si>
  <si>
    <t>месячная, квартальная, годовая</t>
  </si>
  <si>
    <t/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</si>
  <si>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</si>
  <si>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</si>
  <si>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</si>
  <si>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</si>
  <si>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</si>
  <si>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</si>
  <si>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</si>
  <si>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</si>
  <si>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</si>
  <si>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</si>
  <si>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</si>
  <si>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</si>
  <si>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</si>
  <si>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</si>
  <si>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</si>
  <si>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</si>
  <si>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</si>
  <si>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</si>
  <si>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</si>
  <si>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</si>
  <si>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</si>
  <si>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</si>
  <si>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</si>
  <si>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</si>
  <si>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</si>
  <si>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</si>
  <si>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</si>
  <si>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100 10302261 01 0000 110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</si>
  <si>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</si>
  <si>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</si>
  <si>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</si>
  <si>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</si>
  <si>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</si>
  <si>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</si>
  <si>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</si>
  <si>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</si>
  <si>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182 10102040 01 0000 110</t>
  </si>
  <si>
    <t>Единый сельскохозяйственный налог</t>
  </si>
  <si>
    <t>182 10503010 01 0000 110</t>
  </si>
  <si>
    <t>Единый сельскохозяйственный налог (за налоговые периоды, истекшие до 1 января 2011 года)</t>
  </si>
  <si>
    <t>182 10503020 01 0000 110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</si>
  <si>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</si>
  <si>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182 10601030 10 0000 110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</si>
  <si>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</si>
  <si>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</si>
  <si>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</si>
  <si>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</si>
  <si>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Земельный налог (по обязательствам, возникшим до 1 января 2006 года), мобилизуемый на территориях сельских поселений</t>
  </si>
  <si>
    <t>182 10904053 10 0000 110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</si>
  <si>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</si>
  <si>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992 11105035 10 0000 120</t>
  </si>
  <si>
    <t>Доходы от сдачи в аренду имущества, составляющего казну сельских поселений (за исключением земельных участков)</t>
  </si>
  <si>
    <t>992 11105075 10 0000 120</t>
  </si>
  <si>
    <t>Прочие доходы от компенсации затрат бюджетов сельских поселений</t>
  </si>
  <si>
    <t>992 11302995 10 0000 130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</si>
  <si>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</si>
  <si>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992 11402052 10 0000 410</t>
  </si>
  <si>
    <t>Средства от распоряжения и реализации выморочного имущества, обращенного в собственность сельских поселений (в части реализации основных средств по указанному имуществу)</t>
  </si>
  <si>
    <t>992 11403050 10 0000 410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</si>
  <si>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</si>
  <si>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992 11602010 02 0000 140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</si>
  <si>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</si>
  <si>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992 11602020 02 0000 140</t>
  </si>
  <si>
    <t>Невыясненные поступления, зачисляемые в бюджеты сельских поселений</t>
  </si>
  <si>
    <t>992 11701050 10 0000 180</t>
  </si>
  <si>
    <t>Прочие неналоговые доходы бюджетов сельских поселений</t>
  </si>
  <si>
    <t>992 11705050 10 0000 180</t>
  </si>
  <si>
    <t>Дотации бюджетам сельских поселений на выравнивание бюджетной обеспеченности из бюджета субъекта Российской Федерации</t>
  </si>
  <si>
    <t>992 20215001 10 0000 150</t>
  </si>
  <si>
    <t>Дотации бюджетам сельских поселений на выравнивание бюджетной обеспеченности из бюджетов муниципальных районов</t>
  </si>
  <si>
    <t>992 20216001 10 0000 150</t>
  </si>
  <si>
    <t>Субсидии бюджетам сельских поселений на софинансирование капитальных вложений в объекты муниципальной собственности</t>
  </si>
  <si>
    <t>992 20220077 10 0000 150</t>
  </si>
  <si>
    <t>Прочие субсидии бюджетам сельских поселений</t>
  </si>
  <si>
    <t>992 20229999 10 0000 150</t>
  </si>
  <si>
    <t>Субвенции бюджетам сельских поселений на выполнение передаваемых полномочий субъектов Российской Федерации</t>
  </si>
  <si>
    <t>992 20230024 10 0000 150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</si>
  <si>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</si>
  <si>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992 20235118 10 0000 150</t>
  </si>
  <si>
    <t>Прочие межбюджетные трансферты, передаваемые бюджетам сельских поселений</t>
  </si>
  <si>
    <t>992 20249999 10 0000 150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</si>
  <si>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</si>
  <si>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992 20805000 10 0000 150</t>
  </si>
  <si>
    <t>2. Расходы бюджета</t>
  </si>
  <si>
    <t>Код расхода по бюджетной классификации</t>
  </si>
  <si>
    <t>Расходы бюджета всего, в т.ч.</t>
  </si>
  <si>
    <t>200</t>
  </si>
  <si>
    <t>Фонд оплаты труда государственных (муниципальных) органов</t>
  </si>
  <si>
    <t>992 0102 5010000190 121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</si>
  <si>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</si>
  <si>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992 0102 5010000190 129</t>
  </si>
  <si>
    <t>992 0104 5110000190 121</t>
  </si>
  <si>
    <t>992 0104 5110000190 129</t>
  </si>
  <si>
    <t>Прочая закупка товаров, работ и услуг</t>
  </si>
  <si>
    <t>992 0104 5110000190 244</t>
  </si>
  <si>
    <t>Уплата прочих налогов, сборов</t>
  </si>
  <si>
    <t>992 0104 5110000190 852</t>
  </si>
  <si>
    <t>Уплата иных платежей</t>
  </si>
  <si>
    <t>992 0104 5110000190 853</t>
  </si>
  <si>
    <t>992 0104 5120060190 244</t>
  </si>
  <si>
    <t>Иные межбюджетные трансферты</t>
  </si>
  <si>
    <t>992 0106 7590000190 540</t>
  </si>
  <si>
    <t>Резервные средства</t>
  </si>
  <si>
    <t>992 0111 5150020590 870</t>
  </si>
  <si>
    <t>992 0113 0100100000 244</t>
  </si>
  <si>
    <t>Фонд оплаты труда учреждений</t>
  </si>
  <si>
    <t>992 0113 5180000590 111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</si>
  <si>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</si>
  <si>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992 0113 5180000590 119</t>
  </si>
  <si>
    <t>992 0113 5180000590 244</t>
  </si>
  <si>
    <t>Закупка энергетических ресурсов</t>
  </si>
  <si>
    <t>992 0113 5180000590 247</t>
  </si>
  <si>
    <t>992 0113 5180000590 852</t>
  </si>
  <si>
    <t>992 0113 5180000590 853</t>
  </si>
  <si>
    <t>992 0113 5210010390 852</t>
  </si>
  <si>
    <t>992 0113 5210010390 853</t>
  </si>
  <si>
    <t>992 0203 5520051180 121</t>
  </si>
  <si>
    <t>992 0203 5520051180 129</t>
  </si>
  <si>
    <t>992 0203 5530051180 121</t>
  </si>
  <si>
    <t>992 0203 5530051180 129</t>
  </si>
  <si>
    <t>992 0310 0360100000 244</t>
  </si>
  <si>
    <t>992 0310 0360200000 244</t>
  </si>
  <si>
    <t>992 0310 0360300000 244</t>
  </si>
  <si>
    <t>992 0310 0370100000 244</t>
  </si>
  <si>
    <t>992 0310 0380100000 244</t>
  </si>
  <si>
    <t>992 0310 9990010010 870</t>
  </si>
  <si>
    <t>Субсидии бюджетным учреждениям на иные цели</t>
  </si>
  <si>
    <t>992 0401 1300200000 612</t>
  </si>
  <si>
    <t>992 0409 2010100000 244</t>
  </si>
  <si>
    <t>Закупка товаров, работ, услуг в целях капитального ремонта государственного (муниципального) имущества</t>
  </si>
  <si>
    <t>992 0409 2010200000 243</t>
  </si>
  <si>
    <t>992 0409 2010200000 244</t>
  </si>
  <si>
    <t>992 0409 201R1S3930 244</t>
  </si>
  <si>
    <t>992 0409 201R1С3930 244</t>
  </si>
  <si>
    <t>992 0409 2020100000 244</t>
  </si>
  <si>
    <t>992 0409 2020300000 244</t>
  </si>
  <si>
    <t>992 0412 2100100000 244</t>
  </si>
  <si>
    <t>992 0412 2100200000 244</t>
  </si>
  <si>
    <t>992 0412 2100300000 244</t>
  </si>
  <si>
    <t>Исполнение судебных актов Российской Федерации и мировых соглашений по возмещению причиненного вреда</t>
  </si>
  <si>
    <t>992 0412 2100400000 831</t>
  </si>
  <si>
    <t>992 0412 2100400000 852</t>
  </si>
  <si>
    <t>992 0412 2100400000 853</t>
  </si>
  <si>
    <t>992 0412 2100500000 244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</si>
  <si>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</si>
  <si>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992 0502 2200300000 813</t>
  </si>
  <si>
    <t>992 0502 2200400000 243</t>
  </si>
  <si>
    <t>992 0502 2200400000 244</t>
  </si>
  <si>
    <t>992 0502 2200500000 244</t>
  </si>
  <si>
    <t>992 0502 2200800000 244</t>
  </si>
  <si>
    <t>992 0503 2200200000 244</t>
  </si>
  <si>
    <t>992 0503 2200200000 247</t>
  </si>
  <si>
    <t>992 0503 2200700000 244</t>
  </si>
  <si>
    <t>992 0503 2400100000 244</t>
  </si>
  <si>
    <t>992 0503 2400200000 244</t>
  </si>
  <si>
    <t>992 0503 7010000000 244</t>
  </si>
  <si>
    <t>992 0503 7020000000 244</t>
  </si>
  <si>
    <t>992 0503 7040000000 244</t>
  </si>
  <si>
    <t>992 0801 1012600000 244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</si>
  <si>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</si>
  <si>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992 0801 1070100000 611</t>
  </si>
  <si>
    <t>992 0801 1070200000 611</t>
  </si>
  <si>
    <t>992 0804 9990010930 244</t>
  </si>
  <si>
    <t>Иные пенсии, социальные доплаты к пенсиям</t>
  </si>
  <si>
    <t>992 1001 9990041210 312</t>
  </si>
  <si>
    <t>992 1102 1300100000 611</t>
  </si>
  <si>
    <t>Бюджетные инвестиции в объекты капитального строительства государственной (муниципальной) собственности</t>
  </si>
  <si>
    <t>992 1102 1300300000 414</t>
  </si>
  <si>
    <t>992 1102 13005S0470 414</t>
  </si>
  <si>
    <t>992 1102 1300600000 414</t>
  </si>
  <si>
    <t>992 1102 1300700000 414</t>
  </si>
  <si>
    <t>992 1204 9900000950 244</t>
  </si>
  <si>
    <t>Обслуживание муниципального долга</t>
  </si>
  <si>
    <t>992 1301 5190010150 730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</si>
  <si>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</si>
  <si>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</si>
  <si>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</si>
  <si>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</si>
  <si>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</si>
  <si>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</si>
  <si>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</si>
  <si>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</si>
  <si>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</si>
  <si>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Погашение сельскими поселениями кредитов от кредитных организаций в валюте Российской Федерации</t>
  </si>
  <si>
    <t>992 01020000 10 0000 810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</si>
  <si>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</si>
  <si>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</si>
  <si>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</si>
  <si>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</si>
  <si>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</si>
  <si>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</si>
  <si>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</si>
  <si>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992 01050201 10 0000 510</t>
  </si>
  <si>
    <t xml:space="preserve">     уменьшение остатков средств</t>
  </si>
  <si>
    <t>720</t>
  </si>
  <si>
    <t>992 01050201 10 0000 610</t>
  </si>
  <si>
    <t>Глава администрации Пластуновского сельского поселения</t>
  </si>
  <si>
    <t>Олейник С. К.</t>
  </si>
  <si>
    <t>(подпись)</t>
  </si>
  <si>
    <t>(расшифровка подписи)</t>
  </si>
  <si>
    <t>Начальник финансового отдела</t>
  </si>
  <si>
    <t>Алексеева С. М.</t>
  </si>
  <si>
    <t>Исполнитель:</t>
  </si>
  <si>
    <t>Главный специалист</t>
  </si>
  <si>
    <t>Пахомова Т. В.</t>
  </si>
  <si>
    <t>(должность)</t>
  </si>
  <si>
    <t xml:space="preserve">   28 марта 2023 г.   </t>
  </si>
  <si>
    <t>Форма 0503117 с.1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</si>
</sst>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0" xfId="0" applyNumberFormat="1" applyFont="1" applyFill="1" applyAlignment="1">
      <alignment horizont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6" fillId="33" borderId="13" xfId="0" applyNumberFormat="1" applyFont="1" applyFill="1" applyBorder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20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0" fontId="5" fillId="33" borderId="23" xfId="0" applyNumberFormat="1" applyFont="1" applyFill="1" applyBorder="1" applyAlignment="1">
      <alignment horizontal="right" vertical="center" wrapText="1"/>
    </xf>
    <xf numFmtId="0" fontId="7" fillId="33" borderId="24" xfId="0" applyNumberFormat="1" applyFont="1" applyFill="1" applyBorder="1" applyAlignment="1">
      <alignment horizontal="center" wrapText="1"/>
    </xf>
    <xf numFmtId="0" fontId="5" fillId="33" borderId="25" xfId="0" applyNumberFormat="1" applyFont="1" applyFill="1" applyBorder="1" applyAlignment="1">
      <alignment horizontal="left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33" borderId="2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26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0" fontId="5" fillId="33" borderId="31" xfId="0" applyNumberFormat="1" applyFont="1" applyFill="1" applyBorder="1" applyAlignment="1">
      <alignment horizontal="center" vertical="center" wrapText="1"/>
    </xf>
    <xf numFmtId="0" fontId="5" fillId="33" borderId="32" xfId="0" applyNumberFormat="1" applyFont="1" applyFill="1" applyBorder="1" applyAlignment="1">
      <alignment horizontal="left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right" vertical="center" wrapText="1"/>
    </xf>
    <xf numFmtId="0" fontId="5" fillId="33" borderId="34" xfId="0" applyNumberFormat="1" applyFont="1" applyFill="1" applyBorder="1" applyAlignment="1">
      <alignment horizontal="right" vertical="center" wrapText="1"/>
    </xf>
    <xf numFmtId="0" fontId="5" fillId="33" borderId="35" xfId="0" applyNumberFormat="1" applyFont="1" applyFill="1" applyBorder="1" applyAlignment="1">
      <alignment horizontal="right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4" fontId="5" fillId="33" borderId="37" xfId="0" applyNumberFormat="1" applyFont="1" applyFill="1" applyBorder="1" applyAlignment="1">
      <alignment horizontal="right" vertical="center" wrapText="1"/>
    </xf>
    <xf numFmtId="4" fontId="5" fillId="33" borderId="38" xfId="0" applyNumberFormat="1" applyFont="1" applyFill="1" applyBorder="1" applyAlignment="1">
      <alignment horizontal="right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4" fontId="5" fillId="33" borderId="40" xfId="0" applyNumberFormat="1" applyFont="1" applyFill="1" applyBorder="1" applyAlignment="1">
      <alignment horizontal="right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8" fillId="33" borderId="41" xfId="0" applyNumberFormat="1" applyFont="1" applyFill="1" applyBorder="1" applyAlignment="1">
      <alignment horizontal="center" wrapText="1"/>
    </xf>
    <xf numFmtId="0" fontId="9" fillId="33" borderId="0" xfId="0" applyNumberFormat="1" applyFont="1" applyFill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143"/>
  <sheetViews>
    <sheetView tabSelected="1" zoomScalePageLayoutView="0" workbookViewId="0" topLeftCell="A1">
      <selection activeCell="A1" sqref="A1:W1"/>
    </sheetView>
  </sheetViews>
  <sheetFormatPr defaultColWidth="9.140625" defaultRowHeight="12.75"/>
  <cols>
    <col min="1" max="1" width="13.7109375" style="1" customWidth="1"/>
    <col min="2" max="3" width="1.7109375" style="1" customWidth="1"/>
    <col min="4" max="4" width="0.13671875" style="1" customWidth="1"/>
    <col min="5" max="5" width="13.7109375" style="1" customWidth="1"/>
    <col min="6" max="6" width="9.7109375" style="1" customWidth="1"/>
    <col min="7" max="7" width="4.7109375" style="1" customWidth="1"/>
    <col min="8" max="8" width="1.7109375" style="1" customWidth="1"/>
    <col min="9" max="9" width="2.7109375" style="1" customWidth="1"/>
    <col min="10" max="10" width="1.7109375" style="1" customWidth="1"/>
    <col min="11" max="11" width="13.7109375" style="1" customWidth="1"/>
    <col min="12" max="13" width="3.7109375" style="1" customWidth="1"/>
    <col min="14" max="14" width="2.7109375" style="1" customWidth="1"/>
    <col min="15" max="15" width="21.7109375" style="1" customWidth="1"/>
    <col min="16" max="17" width="2.7109375" style="1" customWidth="1"/>
    <col min="18" max="18" width="12.7109375" style="1" customWidth="1"/>
    <col min="19" max="19" width="7.7109375" style="1" customWidth="1"/>
    <col min="20" max="20" width="3.7109375" style="1" customWidth="1"/>
    <col min="21" max="21" width="1.7109375" style="1" customWidth="1"/>
    <col min="22" max="23" width="4.7109375" style="1" customWidth="1"/>
    <col min="24" max="24" width="12.7109375" style="1" customWidth="1"/>
  </cols>
  <sheetData>
    <row r="1" spans="1:24" s="1" customFormat="1" ht="1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3" t="s">
        <v>1</v>
      </c>
    </row>
    <row r="2" spans="1:24" s="1" customFormat="1" ht="13.5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5" t="s">
        <v>3</v>
      </c>
    </row>
    <row r="3" spans="1:24" s="1" customFormat="1" ht="13.5" customHeight="1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4" t="s">
        <v>5</v>
      </c>
      <c r="W3" s="4"/>
      <c r="X3" s="6">
        <v>44835</v>
      </c>
    </row>
    <row r="4" spans="1:24" s="1" customFormat="1" ht="13.5" customHeight="1">
      <c r="A4" s="7" t="s">
        <v>6</v>
      </c>
      <c r="B4" s="7"/>
      <c r="C4" s="7"/>
      <c r="D4" s="7"/>
      <c r="E4" s="7"/>
      <c r="F4" s="8" t="s">
        <v>7</v>
      </c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4" t="s">
        <v>8</v>
      </c>
      <c r="V4" s="4"/>
      <c r="W4" s="4"/>
      <c r="X4" s="9" t="s">
        <v>10</v>
      </c>
    </row>
    <row r="5" spans="1:24" s="1" customFormat="1" ht="13.5" customHeight="1">
      <c r="A5" s="7"/>
      <c r="B5" s="7"/>
      <c r="C5" s="7"/>
      <c r="D5" s="7"/>
      <c r="E5" s="7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4" t="s">
        <v>9</v>
      </c>
      <c r="V5" s="4"/>
      <c r="W5" s="4"/>
      <c r="X5" s="9" t="s">
        <v>11</v>
      </c>
    </row>
    <row r="6" spans="1:24" s="1" customFormat="1" ht="13.5" customHeight="1">
      <c r="A6" s="7" t="s">
        <v>12</v>
      </c>
      <c r="B6" s="7"/>
      <c r="C6" s="7"/>
      <c r="D6" s="7"/>
      <c r="E6" s="7"/>
      <c r="F6" s="7"/>
      <c r="G6" s="8" t="s">
        <v>7</v>
      </c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4" t="s">
        <v>13</v>
      </c>
      <c r="V6" s="4"/>
      <c r="W6" s="4"/>
      <c r="X6" s="9" t="s">
        <v>14</v>
      </c>
    </row>
    <row r="7" spans="1:24" s="1" customFormat="1" ht="13.5" customHeight="1">
      <c r="A7" s="10" t="s">
        <v>15</v>
      </c>
      <c r="B7" s="7" t="s">
        <v>16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9" t="s">
        <v>17</v>
      </c>
    </row>
    <row r="8" spans="1:24" s="1" customFormat="1" ht="13.5" customHeight="1">
      <c r="A8" s="7" t="s">
        <v>18</v>
      </c>
      <c r="B8" s="7"/>
      <c r="C8" s="7"/>
      <c r="D8" s="7"/>
      <c r="E8" s="7" t="s">
        <v>19</v>
      </c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4" t="s">
        <v>20</v>
      </c>
      <c r="U8" s="4"/>
      <c r="V8" s="4"/>
      <c r="W8" s="4"/>
      <c r="X8" s="11" t="s">
        <v>21</v>
      </c>
    </row>
    <row r="9" spans="1:24" s="1" customFormat="1" ht="13.5" customHeight="1">
      <c r="A9" s="12" t="s">
        <v>22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</row>
    <row r="10" spans="1:24" s="1" customFormat="1" ht="34.5" customHeight="1">
      <c r="A10" s="13" t="s">
        <v>23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 t="s">
        <v>24</v>
      </c>
      <c r="M10" s="13"/>
      <c r="N10" s="13" t="s">
        <v>25</v>
      </c>
      <c r="O10" s="13"/>
      <c r="P10" s="14" t="s">
        <v>26</v>
      </c>
      <c r="Q10" s="14"/>
      <c r="R10" s="14"/>
      <c r="S10" s="14" t="s">
        <v>27</v>
      </c>
      <c r="T10" s="14"/>
      <c r="U10" s="14"/>
      <c r="V10" s="14"/>
      <c r="W10" s="15" t="s">
        <v>28</v>
      </c>
      <c r="X10" s="15"/>
    </row>
    <row r="11" spans="1:24" s="1" customFormat="1" ht="12.75" customHeight="1">
      <c r="A11" s="16" t="s">
        <v>29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 t="s">
        <v>30</v>
      </c>
      <c r="M11" s="16"/>
      <c r="N11" s="16" t="s">
        <v>31</v>
      </c>
      <c r="O11" s="16"/>
      <c r="P11" s="17" t="s">
        <v>32</v>
      </c>
      <c r="Q11" s="17"/>
      <c r="R11" s="17"/>
      <c r="S11" s="17" t="s">
        <v>33</v>
      </c>
      <c r="T11" s="17"/>
      <c r="U11" s="17"/>
      <c r="V11" s="17"/>
      <c r="W11" s="18" t="s">
        <v>34</v>
      </c>
      <c r="X11" s="18"/>
    </row>
    <row r="12" spans="1:24" s="1" customFormat="1" ht="13.5" customHeight="1">
      <c r="A12" s="19" t="s">
        <v>35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20" t="s">
        <v>36</v>
      </c>
      <c r="M12" s="20"/>
      <c r="N12" s="20" t="s">
        <v>37</v>
      </c>
      <c r="O12" s="20"/>
      <c r="P12" s="21">
        <f>163800700</f>
        <v>163800700</v>
      </c>
      <c r="Q12" s="21"/>
      <c r="R12" s="21"/>
      <c r="S12" s="21">
        <f>80807150.03</f>
        <v>80807150.03</v>
      </c>
      <c r="T12" s="21"/>
      <c r="U12" s="21"/>
      <c r="V12" s="21"/>
      <c r="W12" s="22">
        <f>82993549.97</f>
        <v>82993549.97</v>
      </c>
      <c r="X12" s="22"/>
    </row>
    <row r="13" spans="1:24" s="1" customFormat="1" ht="66" customHeight="1">
      <c r="A13" s="23" t="s">
        <v>38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4" t="s">
        <v>36</v>
      </c>
      <c r="M13" s="24"/>
      <c r="N13" s="24" t="s">
        <v>39</v>
      </c>
      <c r="O13" s="24"/>
      <c r="P13" s="25">
        <f>2840000</f>
        <v>2840000</v>
      </c>
      <c r="Q13" s="25"/>
      <c r="R13" s="25"/>
      <c r="S13" s="25">
        <f>2448579.78</f>
        <v>2448579.78</v>
      </c>
      <c r="T13" s="25"/>
      <c r="U13" s="25"/>
      <c r="V13" s="25"/>
      <c r="W13" s="26">
        <f>391420.22</f>
        <v>391420.22</v>
      </c>
      <c r="X13" s="26"/>
    </row>
    <row r="14" spans="1:24" s="1" customFormat="1" ht="75.75" customHeight="1">
      <c r="A14" s="23" t="s">
        <v>40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4" t="s">
        <v>36</v>
      </c>
      <c r="M14" s="24"/>
      <c r="N14" s="24" t="s">
        <v>41</v>
      </c>
      <c r="O14" s="24"/>
      <c r="P14" s="25">
        <f>25000</f>
        <v>25000</v>
      </c>
      <c r="Q14" s="25"/>
      <c r="R14" s="25"/>
      <c r="S14" s="25">
        <f>13851.94</f>
        <v>13851.94</v>
      </c>
      <c r="T14" s="25"/>
      <c r="U14" s="25"/>
      <c r="V14" s="25"/>
      <c r="W14" s="26">
        <f>11148.06</f>
        <v>11148.06</v>
      </c>
      <c r="X14" s="26"/>
    </row>
    <row r="15" spans="1:24" s="1" customFormat="1" ht="66" customHeight="1">
      <c r="A15" s="23" t="s">
        <v>42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4" t="s">
        <v>36</v>
      </c>
      <c r="M15" s="24"/>
      <c r="N15" s="24" t="s">
        <v>43</v>
      </c>
      <c r="O15" s="24"/>
      <c r="P15" s="25">
        <f>3205400</f>
        <v>3205400</v>
      </c>
      <c r="Q15" s="25"/>
      <c r="R15" s="25"/>
      <c r="S15" s="25">
        <f>2818727.8</f>
        <v>2818727.8</v>
      </c>
      <c r="T15" s="25"/>
      <c r="U15" s="25"/>
      <c r="V15" s="25"/>
      <c r="W15" s="26">
        <f>386672.2</f>
        <v>386672.2</v>
      </c>
      <c r="X15" s="26"/>
    </row>
    <row r="16" spans="1:24" s="1" customFormat="1" ht="66" customHeight="1">
      <c r="A16" s="23" t="s">
        <v>44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4" t="s">
        <v>36</v>
      </c>
      <c r="M16" s="24"/>
      <c r="N16" s="24" t="s">
        <v>45</v>
      </c>
      <c r="O16" s="24"/>
      <c r="P16" s="27" t="s">
        <v>46</v>
      </c>
      <c r="Q16" s="27"/>
      <c r="R16" s="27"/>
      <c r="S16" s="25">
        <f>-273336.22</f>
        <v>-273336.22</v>
      </c>
      <c r="T16" s="25"/>
      <c r="U16" s="25"/>
      <c r="V16" s="25"/>
      <c r="W16" s="28" t="s">
        <v>46</v>
      </c>
      <c r="X16" s="28"/>
    </row>
    <row r="17" spans="1:24" s="1" customFormat="1" ht="45" customHeight="1">
      <c r="A17" s="23" t="s">
        <v>47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4" t="s">
        <v>36</v>
      </c>
      <c r="M17" s="24"/>
      <c r="N17" s="24" t="s">
        <v>48</v>
      </c>
      <c r="O17" s="24"/>
      <c r="P17" s="25">
        <f>20820000</f>
        <v>20820000</v>
      </c>
      <c r="Q17" s="25"/>
      <c r="R17" s="25"/>
      <c r="S17" s="25">
        <f>17295620.37</f>
        <v>17295620.37</v>
      </c>
      <c r="T17" s="25"/>
      <c r="U17" s="25"/>
      <c r="V17" s="25"/>
      <c r="W17" s="26">
        <f>3524379.63</f>
        <v>3524379.63</v>
      </c>
      <c r="X17" s="26"/>
    </row>
    <row r="18" spans="1:24" s="1" customFormat="1" ht="66" customHeight="1">
      <c r="A18" s="23" t="s">
        <v>49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4" t="s">
        <v>36</v>
      </c>
      <c r="M18" s="24"/>
      <c r="N18" s="24" t="s">
        <v>50</v>
      </c>
      <c r="O18" s="24"/>
      <c r="P18" s="25">
        <f>500000</f>
        <v>500000</v>
      </c>
      <c r="Q18" s="25"/>
      <c r="R18" s="25"/>
      <c r="S18" s="25">
        <f>627288.75</f>
        <v>627288.75</v>
      </c>
      <c r="T18" s="25"/>
      <c r="U18" s="25"/>
      <c r="V18" s="25"/>
      <c r="W18" s="28" t="s">
        <v>46</v>
      </c>
      <c r="X18" s="28"/>
    </row>
    <row r="19" spans="1:24" s="1" customFormat="1" ht="24" customHeight="1">
      <c r="A19" s="23" t="s">
        <v>51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4" t="s">
        <v>36</v>
      </c>
      <c r="M19" s="24"/>
      <c r="N19" s="24" t="s">
        <v>52</v>
      </c>
      <c r="O19" s="24"/>
      <c r="P19" s="25">
        <f>400000</f>
        <v>400000</v>
      </c>
      <c r="Q19" s="25"/>
      <c r="R19" s="25"/>
      <c r="S19" s="25">
        <f>608772.15</f>
        <v>608772.15</v>
      </c>
      <c r="T19" s="25"/>
      <c r="U19" s="25"/>
      <c r="V19" s="25"/>
      <c r="W19" s="28" t="s">
        <v>46</v>
      </c>
      <c r="X19" s="28"/>
    </row>
    <row r="20" spans="1:24" s="1" customFormat="1" ht="54.75" customHeight="1">
      <c r="A20" s="23" t="s">
        <v>53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4" t="s">
        <v>36</v>
      </c>
      <c r="M20" s="24"/>
      <c r="N20" s="24" t="s">
        <v>54</v>
      </c>
      <c r="O20" s="24"/>
      <c r="P20" s="25">
        <f>200000</f>
        <v>200000</v>
      </c>
      <c r="Q20" s="25"/>
      <c r="R20" s="25"/>
      <c r="S20" s="25">
        <f>133621.52</f>
        <v>133621.52</v>
      </c>
      <c r="T20" s="25"/>
      <c r="U20" s="25"/>
      <c r="V20" s="25"/>
      <c r="W20" s="26">
        <f>66378.48</f>
        <v>66378.48</v>
      </c>
      <c r="X20" s="26"/>
    </row>
    <row r="21" spans="1:24" s="1" customFormat="1" ht="13.5" customHeight="1">
      <c r="A21" s="23" t="s">
        <v>55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4" t="s">
        <v>36</v>
      </c>
      <c r="M21" s="24"/>
      <c r="N21" s="24" t="s">
        <v>56</v>
      </c>
      <c r="O21" s="24"/>
      <c r="P21" s="25">
        <f>1680000</f>
        <v>1680000</v>
      </c>
      <c r="Q21" s="25"/>
      <c r="R21" s="25"/>
      <c r="S21" s="25">
        <f>1737390.26</f>
        <v>1737390.26</v>
      </c>
      <c r="T21" s="25"/>
      <c r="U21" s="25"/>
      <c r="V21" s="25"/>
      <c r="W21" s="28" t="s">
        <v>46</v>
      </c>
      <c r="X21" s="28"/>
    </row>
    <row r="22" spans="1:24" s="1" customFormat="1" ht="24" customHeight="1">
      <c r="A22" s="23" t="s">
        <v>57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4" t="s">
        <v>36</v>
      </c>
      <c r="M22" s="24"/>
      <c r="N22" s="24" t="s">
        <v>58</v>
      </c>
      <c r="O22" s="24"/>
      <c r="P22" s="27" t="s">
        <v>46</v>
      </c>
      <c r="Q22" s="27"/>
      <c r="R22" s="27"/>
      <c r="S22" s="25">
        <f>120.04</f>
        <v>120.04</v>
      </c>
      <c r="T22" s="25"/>
      <c r="U22" s="25"/>
      <c r="V22" s="25"/>
      <c r="W22" s="28" t="s">
        <v>46</v>
      </c>
      <c r="X22" s="28"/>
    </row>
    <row r="23" spans="1:24" s="1" customFormat="1" ht="24" customHeight="1">
      <c r="A23" s="23" t="s">
        <v>59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4" t="s">
        <v>36</v>
      </c>
      <c r="M23" s="24"/>
      <c r="N23" s="24" t="s">
        <v>60</v>
      </c>
      <c r="O23" s="24"/>
      <c r="P23" s="25">
        <f>6300000</f>
        <v>6300000</v>
      </c>
      <c r="Q23" s="25"/>
      <c r="R23" s="25"/>
      <c r="S23" s="25">
        <f>1462082.77</f>
        <v>1462082.77</v>
      </c>
      <c r="T23" s="25"/>
      <c r="U23" s="25"/>
      <c r="V23" s="25"/>
      <c r="W23" s="26">
        <f>4837917.23</f>
        <v>4837917.23</v>
      </c>
      <c r="X23" s="26"/>
    </row>
    <row r="24" spans="1:24" s="1" customFormat="1" ht="24" customHeight="1">
      <c r="A24" s="23" t="s">
        <v>61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4" t="s">
        <v>36</v>
      </c>
      <c r="M24" s="24"/>
      <c r="N24" s="24" t="s">
        <v>62</v>
      </c>
      <c r="O24" s="24"/>
      <c r="P24" s="25">
        <f>1920000</f>
        <v>1920000</v>
      </c>
      <c r="Q24" s="25"/>
      <c r="R24" s="25"/>
      <c r="S24" s="25">
        <f>1754518.24</f>
        <v>1754518.24</v>
      </c>
      <c r="T24" s="25"/>
      <c r="U24" s="25"/>
      <c r="V24" s="25"/>
      <c r="W24" s="26">
        <f>165481.76</f>
        <v>165481.76</v>
      </c>
      <c r="X24" s="26"/>
    </row>
    <row r="25" spans="1:24" s="1" customFormat="1" ht="24" customHeight="1">
      <c r="A25" s="23" t="s">
        <v>63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4" t="s">
        <v>36</v>
      </c>
      <c r="M25" s="24"/>
      <c r="N25" s="24" t="s">
        <v>64</v>
      </c>
      <c r="O25" s="24"/>
      <c r="P25" s="25">
        <f>7000000</f>
        <v>7000000</v>
      </c>
      <c r="Q25" s="25"/>
      <c r="R25" s="25"/>
      <c r="S25" s="25">
        <f>782304.85</f>
        <v>782304.85</v>
      </c>
      <c r="T25" s="25"/>
      <c r="U25" s="25"/>
      <c r="V25" s="25"/>
      <c r="W25" s="26">
        <f>6217695.15</f>
        <v>6217695.15</v>
      </c>
      <c r="X25" s="26"/>
    </row>
    <row r="26" spans="1:24" s="1" customFormat="1" ht="24" customHeight="1">
      <c r="A26" s="23" t="s">
        <v>65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4" t="s">
        <v>36</v>
      </c>
      <c r="M26" s="24"/>
      <c r="N26" s="24" t="s">
        <v>66</v>
      </c>
      <c r="O26" s="24"/>
      <c r="P26" s="27" t="s">
        <v>46</v>
      </c>
      <c r="Q26" s="27"/>
      <c r="R26" s="27"/>
      <c r="S26" s="25">
        <f>-1617.62</f>
        <v>-1617.62</v>
      </c>
      <c r="T26" s="25"/>
      <c r="U26" s="25"/>
      <c r="V26" s="25"/>
      <c r="W26" s="28" t="s">
        <v>46</v>
      </c>
      <c r="X26" s="28"/>
    </row>
    <row r="27" spans="1:24" s="1" customFormat="1" ht="33.75" customHeight="1">
      <c r="A27" s="23" t="s">
        <v>67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4" t="s">
        <v>36</v>
      </c>
      <c r="M27" s="24"/>
      <c r="N27" s="24" t="s">
        <v>68</v>
      </c>
      <c r="O27" s="24"/>
      <c r="P27" s="27" t="s">
        <v>46</v>
      </c>
      <c r="Q27" s="27"/>
      <c r="R27" s="27"/>
      <c r="S27" s="25">
        <f>192320.1</f>
        <v>192320.1</v>
      </c>
      <c r="T27" s="25"/>
      <c r="U27" s="25"/>
      <c r="V27" s="25"/>
      <c r="W27" s="28" t="s">
        <v>46</v>
      </c>
      <c r="X27" s="28"/>
    </row>
    <row r="28" spans="1:24" s="1" customFormat="1" ht="24" customHeight="1">
      <c r="A28" s="23" t="s">
        <v>69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4" t="s">
        <v>36</v>
      </c>
      <c r="M28" s="24"/>
      <c r="N28" s="24" t="s">
        <v>70</v>
      </c>
      <c r="O28" s="24"/>
      <c r="P28" s="25">
        <f>495900</f>
        <v>495900</v>
      </c>
      <c r="Q28" s="25"/>
      <c r="R28" s="25"/>
      <c r="S28" s="25">
        <f>189870.04</f>
        <v>189870.04</v>
      </c>
      <c r="T28" s="25"/>
      <c r="U28" s="25"/>
      <c r="V28" s="25"/>
      <c r="W28" s="26">
        <f>306029.96</f>
        <v>306029.96</v>
      </c>
      <c r="X28" s="26"/>
    </row>
    <row r="29" spans="1:24" s="1" customFormat="1" ht="13.5" customHeight="1">
      <c r="A29" s="23" t="s">
        <v>71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4" t="s">
        <v>36</v>
      </c>
      <c r="M29" s="24"/>
      <c r="N29" s="24" t="s">
        <v>72</v>
      </c>
      <c r="O29" s="24"/>
      <c r="P29" s="27" t="s">
        <v>46</v>
      </c>
      <c r="Q29" s="27"/>
      <c r="R29" s="27"/>
      <c r="S29" s="25">
        <f>442731.04</f>
        <v>442731.04</v>
      </c>
      <c r="T29" s="25"/>
      <c r="U29" s="25"/>
      <c r="V29" s="25"/>
      <c r="W29" s="28" t="s">
        <v>46</v>
      </c>
      <c r="X29" s="28"/>
    </row>
    <row r="30" spans="1:24" s="1" customFormat="1" ht="45" customHeight="1">
      <c r="A30" s="23" t="s">
        <v>73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4" t="s">
        <v>36</v>
      </c>
      <c r="M30" s="24"/>
      <c r="N30" s="24" t="s">
        <v>74</v>
      </c>
      <c r="O30" s="24"/>
      <c r="P30" s="27" t="s">
        <v>46</v>
      </c>
      <c r="Q30" s="27"/>
      <c r="R30" s="27"/>
      <c r="S30" s="25">
        <f>29070</f>
        <v>29070</v>
      </c>
      <c r="T30" s="25"/>
      <c r="U30" s="25"/>
      <c r="V30" s="25"/>
      <c r="W30" s="28" t="s">
        <v>46</v>
      </c>
      <c r="X30" s="28"/>
    </row>
    <row r="31" spans="1:24" s="1" customFormat="1" ht="33.75" customHeight="1">
      <c r="A31" s="23" t="s">
        <v>75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4" t="s">
        <v>36</v>
      </c>
      <c r="M31" s="24"/>
      <c r="N31" s="24" t="s">
        <v>76</v>
      </c>
      <c r="O31" s="24"/>
      <c r="P31" s="25">
        <f>2579500</f>
        <v>2579500</v>
      </c>
      <c r="Q31" s="25"/>
      <c r="R31" s="25"/>
      <c r="S31" s="25">
        <f>2579500</f>
        <v>2579500</v>
      </c>
      <c r="T31" s="25"/>
      <c r="U31" s="25"/>
      <c r="V31" s="25"/>
      <c r="W31" s="26">
        <f>0</f>
        <v>0</v>
      </c>
      <c r="X31" s="26"/>
    </row>
    <row r="32" spans="1:24" s="1" customFormat="1" ht="33.75" customHeight="1">
      <c r="A32" s="23" t="s">
        <v>77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4" t="s">
        <v>36</v>
      </c>
      <c r="M32" s="24"/>
      <c r="N32" s="24" t="s">
        <v>78</v>
      </c>
      <c r="O32" s="24"/>
      <c r="P32" s="25">
        <f>3700</f>
        <v>3700</v>
      </c>
      <c r="Q32" s="25"/>
      <c r="R32" s="25"/>
      <c r="S32" s="27" t="s">
        <v>46</v>
      </c>
      <c r="T32" s="27"/>
      <c r="U32" s="27"/>
      <c r="V32" s="27"/>
      <c r="W32" s="26">
        <f>3700</f>
        <v>3700</v>
      </c>
      <c r="X32" s="26"/>
    </row>
    <row r="33" spans="1:24" s="1" customFormat="1" ht="33.75" customHeight="1">
      <c r="A33" s="23" t="s">
        <v>79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4" t="s">
        <v>36</v>
      </c>
      <c r="M33" s="24"/>
      <c r="N33" s="24" t="s">
        <v>80</v>
      </c>
      <c r="O33" s="24"/>
      <c r="P33" s="27" t="s">
        <v>46</v>
      </c>
      <c r="Q33" s="27"/>
      <c r="R33" s="27"/>
      <c r="S33" s="25">
        <f>6000</f>
        <v>6000</v>
      </c>
      <c r="T33" s="25"/>
      <c r="U33" s="25"/>
      <c r="V33" s="25"/>
      <c r="W33" s="28" t="s">
        <v>46</v>
      </c>
      <c r="X33" s="28"/>
    </row>
    <row r="34" spans="1:24" s="1" customFormat="1" ht="13.5" customHeight="1">
      <c r="A34" s="23" t="s">
        <v>81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4" t="s">
        <v>36</v>
      </c>
      <c r="M34" s="24"/>
      <c r="N34" s="24" t="s">
        <v>82</v>
      </c>
      <c r="O34" s="24"/>
      <c r="P34" s="27" t="s">
        <v>46</v>
      </c>
      <c r="Q34" s="27"/>
      <c r="R34" s="27"/>
      <c r="S34" s="25">
        <f>0</f>
        <v>0</v>
      </c>
      <c r="T34" s="25"/>
      <c r="U34" s="25"/>
      <c r="V34" s="25"/>
      <c r="W34" s="28" t="s">
        <v>46</v>
      </c>
      <c r="X34" s="28"/>
    </row>
    <row r="35" spans="1:24" s="1" customFormat="1" ht="13.5" customHeight="1">
      <c r="A35" s="23" t="s">
        <v>83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4" t="s">
        <v>36</v>
      </c>
      <c r="M35" s="24"/>
      <c r="N35" s="24" t="s">
        <v>84</v>
      </c>
      <c r="O35" s="24"/>
      <c r="P35" s="25">
        <f>460000</f>
        <v>460000</v>
      </c>
      <c r="Q35" s="25"/>
      <c r="R35" s="25"/>
      <c r="S35" s="25">
        <f>640000</f>
        <v>640000</v>
      </c>
      <c r="T35" s="25"/>
      <c r="U35" s="25"/>
      <c r="V35" s="25"/>
      <c r="W35" s="28" t="s">
        <v>46</v>
      </c>
      <c r="X35" s="28"/>
    </row>
    <row r="36" spans="1:24" s="1" customFormat="1" ht="24" customHeight="1">
      <c r="A36" s="23" t="s">
        <v>85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4" t="s">
        <v>36</v>
      </c>
      <c r="M36" s="24"/>
      <c r="N36" s="24" t="s">
        <v>86</v>
      </c>
      <c r="O36" s="24"/>
      <c r="P36" s="25">
        <f>6466600</f>
        <v>6466600</v>
      </c>
      <c r="Q36" s="25"/>
      <c r="R36" s="25"/>
      <c r="S36" s="25">
        <f>6466600</f>
        <v>6466600</v>
      </c>
      <c r="T36" s="25"/>
      <c r="U36" s="25"/>
      <c r="V36" s="25"/>
      <c r="W36" s="26">
        <f>0</f>
        <v>0</v>
      </c>
      <c r="X36" s="26"/>
    </row>
    <row r="37" spans="1:24" s="1" customFormat="1" ht="24" customHeight="1">
      <c r="A37" s="23" t="s">
        <v>87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4" t="s">
        <v>36</v>
      </c>
      <c r="M37" s="24"/>
      <c r="N37" s="24" t="s">
        <v>88</v>
      </c>
      <c r="O37" s="24"/>
      <c r="P37" s="25">
        <f>912800</f>
        <v>912800</v>
      </c>
      <c r="Q37" s="25"/>
      <c r="R37" s="25"/>
      <c r="S37" s="25">
        <f>608200</f>
        <v>608200</v>
      </c>
      <c r="T37" s="25"/>
      <c r="U37" s="25"/>
      <c r="V37" s="25"/>
      <c r="W37" s="26">
        <f>304600</f>
        <v>304600</v>
      </c>
      <c r="X37" s="26"/>
    </row>
    <row r="38" spans="1:24" s="1" customFormat="1" ht="24" customHeight="1">
      <c r="A38" s="23" t="s">
        <v>89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4" t="s">
        <v>36</v>
      </c>
      <c r="M38" s="24"/>
      <c r="N38" s="24" t="s">
        <v>90</v>
      </c>
      <c r="O38" s="24"/>
      <c r="P38" s="25">
        <f>61653400</f>
        <v>61653400</v>
      </c>
      <c r="Q38" s="25"/>
      <c r="R38" s="25"/>
      <c r="S38" s="27" t="s">
        <v>46</v>
      </c>
      <c r="T38" s="27"/>
      <c r="U38" s="27"/>
      <c r="V38" s="27"/>
      <c r="W38" s="26">
        <f>61653400</f>
        <v>61653400</v>
      </c>
      <c r="X38" s="26"/>
    </row>
    <row r="39" spans="1:24" s="1" customFormat="1" ht="13.5" customHeight="1">
      <c r="A39" s="23" t="s">
        <v>91</v>
      </c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4" t="s">
        <v>36</v>
      </c>
      <c r="M39" s="24"/>
      <c r="N39" s="24" t="s">
        <v>92</v>
      </c>
      <c r="O39" s="24"/>
      <c r="P39" s="25">
        <f>37411000</f>
        <v>37411000</v>
      </c>
      <c r="Q39" s="25"/>
      <c r="R39" s="25"/>
      <c r="S39" s="25">
        <f>36578495.19</f>
        <v>36578495.19</v>
      </c>
      <c r="T39" s="25"/>
      <c r="U39" s="25"/>
      <c r="V39" s="25"/>
      <c r="W39" s="26">
        <f>832504.81</f>
        <v>832504.81</v>
      </c>
      <c r="X39" s="26"/>
    </row>
    <row r="40" spans="1:24" s="1" customFormat="1" ht="24" customHeight="1">
      <c r="A40" s="23" t="s">
        <v>93</v>
      </c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4" t="s">
        <v>36</v>
      </c>
      <c r="M40" s="24"/>
      <c r="N40" s="24" t="s">
        <v>94</v>
      </c>
      <c r="O40" s="24"/>
      <c r="P40" s="25">
        <f>7600</f>
        <v>7600</v>
      </c>
      <c r="Q40" s="25"/>
      <c r="R40" s="25"/>
      <c r="S40" s="25">
        <f>7600</f>
        <v>7600</v>
      </c>
      <c r="T40" s="25"/>
      <c r="U40" s="25"/>
      <c r="V40" s="25"/>
      <c r="W40" s="26">
        <f>0</f>
        <v>0</v>
      </c>
      <c r="X40" s="26"/>
    </row>
    <row r="41" spans="1:24" s="1" customFormat="1" ht="33.75" customHeight="1">
      <c r="A41" s="23" t="s">
        <v>95</v>
      </c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4" t="s">
        <v>36</v>
      </c>
      <c r="M41" s="24"/>
      <c r="N41" s="24" t="s">
        <v>96</v>
      </c>
      <c r="O41" s="24"/>
      <c r="P41" s="25">
        <f>519800</f>
        <v>519800</v>
      </c>
      <c r="Q41" s="25"/>
      <c r="R41" s="25"/>
      <c r="S41" s="25">
        <f>258839.03</f>
        <v>258839.03</v>
      </c>
      <c r="T41" s="25"/>
      <c r="U41" s="25"/>
      <c r="V41" s="25"/>
      <c r="W41" s="26">
        <f>260960.97</f>
        <v>260960.97</v>
      </c>
      <c r="X41" s="26"/>
    </row>
    <row r="42" spans="1:24" s="1" customFormat="1" ht="24" customHeight="1">
      <c r="A42" s="23" t="s">
        <v>97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4" t="s">
        <v>36</v>
      </c>
      <c r="M42" s="24"/>
      <c r="N42" s="24" t="s">
        <v>98</v>
      </c>
      <c r="O42" s="24"/>
      <c r="P42" s="25">
        <f>8400000</f>
        <v>8400000</v>
      </c>
      <c r="Q42" s="25"/>
      <c r="R42" s="25"/>
      <c r="S42" s="25">
        <f>3400000</f>
        <v>3400000</v>
      </c>
      <c r="T42" s="25"/>
      <c r="U42" s="25"/>
      <c r="V42" s="25"/>
      <c r="W42" s="26">
        <f>5000000</f>
        <v>5000000</v>
      </c>
      <c r="X42" s="26"/>
    </row>
    <row r="43" spans="1:24" s="1" customFormat="1" ht="54.75" customHeight="1">
      <c r="A43" s="23" t="s">
        <v>99</v>
      </c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4" t="s">
        <v>36</v>
      </c>
      <c r="M43" s="24"/>
      <c r="N43" s="24" t="s">
        <v>100</v>
      </c>
      <c r="O43" s="24"/>
      <c r="P43" s="27" t="s">
        <v>46</v>
      </c>
      <c r="Q43" s="27"/>
      <c r="R43" s="27"/>
      <c r="S43" s="25">
        <f>0</f>
        <v>0</v>
      </c>
      <c r="T43" s="25"/>
      <c r="U43" s="25"/>
      <c r="V43" s="25"/>
      <c r="W43" s="28" t="s">
        <v>46</v>
      </c>
      <c r="X43" s="28"/>
    </row>
    <row r="44" spans="1:24" s="1" customFormat="1" ht="13.5" customHeight="1">
      <c r="A44" s="29" t="s">
        <v>17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</row>
    <row r="45" spans="1:24" s="1" customFormat="1" ht="13.5" customHeight="1">
      <c r="A45" s="12" t="s">
        <v>101</v>
      </c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</row>
    <row r="46" spans="1:24" s="1" customFormat="1" ht="34.5" customHeight="1">
      <c r="A46" s="13" t="s">
        <v>23</v>
      </c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 t="s">
        <v>24</v>
      </c>
      <c r="M46" s="13"/>
      <c r="N46" s="13" t="s">
        <v>102</v>
      </c>
      <c r="O46" s="13"/>
      <c r="P46" s="14" t="s">
        <v>26</v>
      </c>
      <c r="Q46" s="14"/>
      <c r="R46" s="14"/>
      <c r="S46" s="14" t="s">
        <v>27</v>
      </c>
      <c r="T46" s="14"/>
      <c r="U46" s="14"/>
      <c r="V46" s="14"/>
      <c r="W46" s="15" t="s">
        <v>28</v>
      </c>
      <c r="X46" s="15"/>
    </row>
    <row r="47" spans="1:24" s="1" customFormat="1" ht="13.5" customHeight="1">
      <c r="A47" s="16" t="s">
        <v>29</v>
      </c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 t="s">
        <v>30</v>
      </c>
      <c r="M47" s="16"/>
      <c r="N47" s="16" t="s">
        <v>31</v>
      </c>
      <c r="O47" s="16"/>
      <c r="P47" s="17" t="s">
        <v>32</v>
      </c>
      <c r="Q47" s="17"/>
      <c r="R47" s="17"/>
      <c r="S47" s="17" t="s">
        <v>33</v>
      </c>
      <c r="T47" s="17"/>
      <c r="U47" s="17"/>
      <c r="V47" s="17"/>
      <c r="W47" s="18" t="s">
        <v>34</v>
      </c>
      <c r="X47" s="18"/>
    </row>
    <row r="48" spans="1:24" s="1" customFormat="1" ht="13.5" customHeight="1">
      <c r="A48" s="19" t="s">
        <v>103</v>
      </c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20" t="s">
        <v>104</v>
      </c>
      <c r="M48" s="20"/>
      <c r="N48" s="20" t="s">
        <v>37</v>
      </c>
      <c r="O48" s="20"/>
      <c r="P48" s="21">
        <f>163334711.59</f>
        <v>163334711.59</v>
      </c>
      <c r="Q48" s="21"/>
      <c r="R48" s="21"/>
      <c r="S48" s="21">
        <f>77519256.34</f>
        <v>77519256.34</v>
      </c>
      <c r="T48" s="21"/>
      <c r="U48" s="21"/>
      <c r="V48" s="21"/>
      <c r="W48" s="22">
        <f>85815455.25</f>
        <v>85815455.25</v>
      </c>
      <c r="X48" s="22"/>
    </row>
    <row r="49" spans="1:24" s="1" customFormat="1" ht="13.5" customHeight="1">
      <c r="A49" s="30" t="s">
        <v>105</v>
      </c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1" t="s">
        <v>104</v>
      </c>
      <c r="M49" s="31"/>
      <c r="N49" s="31" t="s">
        <v>106</v>
      </c>
      <c r="O49" s="31"/>
      <c r="P49" s="32">
        <f>917100</f>
        <v>917100</v>
      </c>
      <c r="Q49" s="32"/>
      <c r="R49" s="32"/>
      <c r="S49" s="32">
        <f>650591</f>
        <v>650591</v>
      </c>
      <c r="T49" s="32"/>
      <c r="U49" s="32"/>
      <c r="V49" s="32"/>
      <c r="W49" s="33">
        <f>266509</f>
        <v>266509</v>
      </c>
      <c r="X49" s="33"/>
    </row>
    <row r="50" spans="1:24" s="1" customFormat="1" ht="33.75" customHeight="1">
      <c r="A50" s="30" t="s">
        <v>107</v>
      </c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1" t="s">
        <v>104</v>
      </c>
      <c r="M50" s="31"/>
      <c r="N50" s="31" t="s">
        <v>108</v>
      </c>
      <c r="O50" s="31"/>
      <c r="P50" s="32">
        <f>277000</f>
        <v>277000</v>
      </c>
      <c r="Q50" s="32"/>
      <c r="R50" s="32"/>
      <c r="S50" s="32">
        <f>177588.38</f>
        <v>177588.38</v>
      </c>
      <c r="T50" s="32"/>
      <c r="U50" s="32"/>
      <c r="V50" s="32"/>
      <c r="W50" s="33">
        <f>99411.62</f>
        <v>99411.62</v>
      </c>
      <c r="X50" s="33"/>
    </row>
    <row r="51" spans="1:24" s="1" customFormat="1" ht="13.5" customHeight="1">
      <c r="A51" s="30" t="s">
        <v>105</v>
      </c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1" t="s">
        <v>104</v>
      </c>
      <c r="M51" s="31"/>
      <c r="N51" s="31" t="s">
        <v>109</v>
      </c>
      <c r="O51" s="31"/>
      <c r="P51" s="32">
        <f>5785300</f>
        <v>5785300</v>
      </c>
      <c r="Q51" s="32"/>
      <c r="R51" s="32"/>
      <c r="S51" s="32">
        <f>4241534.12</f>
        <v>4241534.12</v>
      </c>
      <c r="T51" s="32"/>
      <c r="U51" s="32"/>
      <c r="V51" s="32"/>
      <c r="W51" s="33">
        <f>1543765.88</f>
        <v>1543765.88</v>
      </c>
      <c r="X51" s="33"/>
    </row>
    <row r="52" spans="1:24" s="1" customFormat="1" ht="33.75" customHeight="1">
      <c r="A52" s="30" t="s">
        <v>107</v>
      </c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1" t="s">
        <v>104</v>
      </c>
      <c r="M52" s="31"/>
      <c r="N52" s="31" t="s">
        <v>110</v>
      </c>
      <c r="O52" s="31"/>
      <c r="P52" s="32">
        <f>1747100</f>
        <v>1747100</v>
      </c>
      <c r="Q52" s="32"/>
      <c r="R52" s="32"/>
      <c r="S52" s="32">
        <f>1146585.57</f>
        <v>1146585.57</v>
      </c>
      <c r="T52" s="32"/>
      <c r="U52" s="32"/>
      <c r="V52" s="32"/>
      <c r="W52" s="33">
        <f>600514.43</f>
        <v>600514.43</v>
      </c>
      <c r="X52" s="33"/>
    </row>
    <row r="53" spans="1:24" s="1" customFormat="1" ht="13.5" customHeight="1">
      <c r="A53" s="30" t="s">
        <v>111</v>
      </c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1" t="s">
        <v>104</v>
      </c>
      <c r="M53" s="31"/>
      <c r="N53" s="31" t="s">
        <v>112</v>
      </c>
      <c r="O53" s="31"/>
      <c r="P53" s="32">
        <f>330000</f>
        <v>330000</v>
      </c>
      <c r="Q53" s="32"/>
      <c r="R53" s="32"/>
      <c r="S53" s="32">
        <f>225966.99</f>
        <v>225966.99</v>
      </c>
      <c r="T53" s="32"/>
      <c r="U53" s="32"/>
      <c r="V53" s="32"/>
      <c r="W53" s="33">
        <f>104033.01</f>
        <v>104033.01</v>
      </c>
      <c r="X53" s="33"/>
    </row>
    <row r="54" spans="1:24" s="1" customFormat="1" ht="13.5" customHeight="1">
      <c r="A54" s="30" t="s">
        <v>113</v>
      </c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1" t="s">
        <v>104</v>
      </c>
      <c r="M54" s="31"/>
      <c r="N54" s="31" t="s">
        <v>114</v>
      </c>
      <c r="O54" s="31"/>
      <c r="P54" s="32">
        <f>4500</f>
        <v>4500</v>
      </c>
      <c r="Q54" s="32"/>
      <c r="R54" s="32"/>
      <c r="S54" s="34" t="s">
        <v>46</v>
      </c>
      <c r="T54" s="34"/>
      <c r="U54" s="34"/>
      <c r="V54" s="34"/>
      <c r="W54" s="33">
        <f>4500</f>
        <v>4500</v>
      </c>
      <c r="X54" s="33"/>
    </row>
    <row r="55" spans="1:24" s="1" customFormat="1" ht="13.5" customHeight="1">
      <c r="A55" s="30" t="s">
        <v>115</v>
      </c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1" t="s">
        <v>104</v>
      </c>
      <c r="M55" s="31"/>
      <c r="N55" s="31" t="s">
        <v>116</v>
      </c>
      <c r="O55" s="31"/>
      <c r="P55" s="32">
        <f>25000</f>
        <v>25000</v>
      </c>
      <c r="Q55" s="32"/>
      <c r="R55" s="32"/>
      <c r="S55" s="32">
        <f>16495</f>
        <v>16495</v>
      </c>
      <c r="T55" s="32"/>
      <c r="U55" s="32"/>
      <c r="V55" s="32"/>
      <c r="W55" s="33">
        <f>8505</f>
        <v>8505</v>
      </c>
      <c r="X55" s="33"/>
    </row>
    <row r="56" spans="1:24" s="1" customFormat="1" ht="13.5" customHeight="1">
      <c r="A56" s="30" t="s">
        <v>111</v>
      </c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1" t="s">
        <v>104</v>
      </c>
      <c r="M56" s="31"/>
      <c r="N56" s="31" t="s">
        <v>117</v>
      </c>
      <c r="O56" s="31"/>
      <c r="P56" s="32">
        <f>7600</f>
        <v>7600</v>
      </c>
      <c r="Q56" s="32"/>
      <c r="R56" s="32"/>
      <c r="S56" s="32">
        <f>7600</f>
        <v>7600</v>
      </c>
      <c r="T56" s="32"/>
      <c r="U56" s="32"/>
      <c r="V56" s="32"/>
      <c r="W56" s="33">
        <f>0</f>
        <v>0</v>
      </c>
      <c r="X56" s="33"/>
    </row>
    <row r="57" spans="1:24" s="1" customFormat="1" ht="13.5" customHeight="1">
      <c r="A57" s="30" t="s">
        <v>118</v>
      </c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1" t="s">
        <v>104</v>
      </c>
      <c r="M57" s="31"/>
      <c r="N57" s="31" t="s">
        <v>119</v>
      </c>
      <c r="O57" s="31"/>
      <c r="P57" s="32">
        <f>362100</f>
        <v>362100</v>
      </c>
      <c r="Q57" s="32"/>
      <c r="R57" s="32"/>
      <c r="S57" s="32">
        <f>362100</f>
        <v>362100</v>
      </c>
      <c r="T57" s="32"/>
      <c r="U57" s="32"/>
      <c r="V57" s="32"/>
      <c r="W57" s="33">
        <f>0</f>
        <v>0</v>
      </c>
      <c r="X57" s="33"/>
    </row>
    <row r="58" spans="1:24" s="1" customFormat="1" ht="13.5" customHeight="1">
      <c r="A58" s="30" t="s">
        <v>120</v>
      </c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1" t="s">
        <v>104</v>
      </c>
      <c r="M58" s="31"/>
      <c r="N58" s="31" t="s">
        <v>121</v>
      </c>
      <c r="O58" s="31"/>
      <c r="P58" s="32">
        <f>40000</f>
        <v>40000</v>
      </c>
      <c r="Q58" s="32"/>
      <c r="R58" s="32"/>
      <c r="S58" s="34" t="s">
        <v>46</v>
      </c>
      <c r="T58" s="34"/>
      <c r="U58" s="34"/>
      <c r="V58" s="34"/>
      <c r="W58" s="33">
        <f>40000</f>
        <v>40000</v>
      </c>
      <c r="X58" s="33"/>
    </row>
    <row r="59" spans="1:24" s="1" customFormat="1" ht="13.5" customHeight="1">
      <c r="A59" s="30" t="s">
        <v>111</v>
      </c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1" t="s">
        <v>104</v>
      </c>
      <c r="M59" s="31"/>
      <c r="N59" s="31" t="s">
        <v>122</v>
      </c>
      <c r="O59" s="31"/>
      <c r="P59" s="32">
        <f>226300</f>
        <v>226300</v>
      </c>
      <c r="Q59" s="32"/>
      <c r="R59" s="32"/>
      <c r="S59" s="32">
        <f>132000</f>
        <v>132000</v>
      </c>
      <c r="T59" s="32"/>
      <c r="U59" s="32"/>
      <c r="V59" s="32"/>
      <c r="W59" s="33">
        <f>94300</f>
        <v>94300</v>
      </c>
      <c r="X59" s="33"/>
    </row>
    <row r="60" spans="1:24" s="1" customFormat="1" ht="13.5" customHeight="1">
      <c r="A60" s="30" t="s">
        <v>123</v>
      </c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1" t="s">
        <v>104</v>
      </c>
      <c r="M60" s="31"/>
      <c r="N60" s="31" t="s">
        <v>124</v>
      </c>
      <c r="O60" s="31"/>
      <c r="P60" s="32">
        <f>5721100</f>
        <v>5721100</v>
      </c>
      <c r="Q60" s="32"/>
      <c r="R60" s="32"/>
      <c r="S60" s="32">
        <f>4208616.34</f>
        <v>4208616.34</v>
      </c>
      <c r="T60" s="32"/>
      <c r="U60" s="32"/>
      <c r="V60" s="32"/>
      <c r="W60" s="33">
        <f>1512483.66</f>
        <v>1512483.66</v>
      </c>
      <c r="X60" s="33"/>
    </row>
    <row r="61" spans="1:24" s="1" customFormat="1" ht="24" customHeight="1">
      <c r="A61" s="30" t="s">
        <v>125</v>
      </c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1" t="s">
        <v>104</v>
      </c>
      <c r="M61" s="31"/>
      <c r="N61" s="31" t="s">
        <v>126</v>
      </c>
      <c r="O61" s="31"/>
      <c r="P61" s="32">
        <f>1727800</f>
        <v>1727800</v>
      </c>
      <c r="Q61" s="32"/>
      <c r="R61" s="32"/>
      <c r="S61" s="32">
        <f>1075389.74</f>
        <v>1075389.74</v>
      </c>
      <c r="T61" s="32"/>
      <c r="U61" s="32"/>
      <c r="V61" s="32"/>
      <c r="W61" s="33">
        <f>652410.26</f>
        <v>652410.26</v>
      </c>
      <c r="X61" s="33"/>
    </row>
    <row r="62" spans="1:24" s="1" customFormat="1" ht="13.5" customHeight="1">
      <c r="A62" s="30" t="s">
        <v>111</v>
      </c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1" t="s">
        <v>104</v>
      </c>
      <c r="M62" s="31"/>
      <c r="N62" s="31" t="s">
        <v>127</v>
      </c>
      <c r="O62" s="31"/>
      <c r="P62" s="32">
        <f>2110000</f>
        <v>2110000</v>
      </c>
      <c r="Q62" s="32"/>
      <c r="R62" s="32"/>
      <c r="S62" s="32">
        <f>1775425.43</f>
        <v>1775425.43</v>
      </c>
      <c r="T62" s="32"/>
      <c r="U62" s="32"/>
      <c r="V62" s="32"/>
      <c r="W62" s="33">
        <f>334574.57</f>
        <v>334574.57</v>
      </c>
      <c r="X62" s="33"/>
    </row>
    <row r="63" spans="1:24" s="1" customFormat="1" ht="13.5" customHeight="1">
      <c r="A63" s="30" t="s">
        <v>128</v>
      </c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1" t="s">
        <v>104</v>
      </c>
      <c r="M63" s="31"/>
      <c r="N63" s="31" t="s">
        <v>129</v>
      </c>
      <c r="O63" s="31"/>
      <c r="P63" s="32">
        <f>990000</f>
        <v>990000</v>
      </c>
      <c r="Q63" s="32"/>
      <c r="R63" s="32"/>
      <c r="S63" s="32">
        <f>538170.68</f>
        <v>538170.68</v>
      </c>
      <c r="T63" s="32"/>
      <c r="U63" s="32"/>
      <c r="V63" s="32"/>
      <c r="W63" s="33">
        <f>451829.32</f>
        <v>451829.32</v>
      </c>
      <c r="X63" s="33"/>
    </row>
    <row r="64" spans="1:24" s="1" customFormat="1" ht="13.5" customHeight="1">
      <c r="A64" s="30" t="s">
        <v>113</v>
      </c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1" t="s">
        <v>104</v>
      </c>
      <c r="M64" s="31"/>
      <c r="N64" s="31" t="s">
        <v>130</v>
      </c>
      <c r="O64" s="31"/>
      <c r="P64" s="32">
        <f>8500</f>
        <v>8500</v>
      </c>
      <c r="Q64" s="32"/>
      <c r="R64" s="32"/>
      <c r="S64" s="32">
        <f>3936</f>
        <v>3936</v>
      </c>
      <c r="T64" s="32"/>
      <c r="U64" s="32"/>
      <c r="V64" s="32"/>
      <c r="W64" s="33">
        <f>4564</f>
        <v>4564</v>
      </c>
      <c r="X64" s="33"/>
    </row>
    <row r="65" spans="1:24" s="1" customFormat="1" ht="13.5" customHeight="1">
      <c r="A65" s="30" t="s">
        <v>115</v>
      </c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1" t="s">
        <v>104</v>
      </c>
      <c r="M65" s="31"/>
      <c r="N65" s="31" t="s">
        <v>131</v>
      </c>
      <c r="O65" s="31"/>
      <c r="P65" s="32">
        <f>12500</f>
        <v>12500</v>
      </c>
      <c r="Q65" s="32"/>
      <c r="R65" s="32"/>
      <c r="S65" s="32">
        <f>1276.08</f>
        <v>1276.08</v>
      </c>
      <c r="T65" s="32"/>
      <c r="U65" s="32"/>
      <c r="V65" s="32"/>
      <c r="W65" s="33">
        <f>11223.92</f>
        <v>11223.92</v>
      </c>
      <c r="X65" s="33"/>
    </row>
    <row r="66" spans="1:24" s="1" customFormat="1" ht="13.5" customHeight="1">
      <c r="A66" s="30" t="s">
        <v>113</v>
      </c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1" t="s">
        <v>104</v>
      </c>
      <c r="M66" s="31"/>
      <c r="N66" s="31" t="s">
        <v>132</v>
      </c>
      <c r="O66" s="31"/>
      <c r="P66" s="32">
        <f>21000</f>
        <v>21000</v>
      </c>
      <c r="Q66" s="32"/>
      <c r="R66" s="32"/>
      <c r="S66" s="32">
        <f>20158</f>
        <v>20158</v>
      </c>
      <c r="T66" s="32"/>
      <c r="U66" s="32"/>
      <c r="V66" s="32"/>
      <c r="W66" s="33">
        <f>842</f>
        <v>842</v>
      </c>
      <c r="X66" s="33"/>
    </row>
    <row r="67" spans="1:24" s="1" customFormat="1" ht="13.5" customHeight="1">
      <c r="A67" s="30" t="s">
        <v>115</v>
      </c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1" t="s">
        <v>104</v>
      </c>
      <c r="M67" s="31"/>
      <c r="N67" s="31" t="s">
        <v>133</v>
      </c>
      <c r="O67" s="31"/>
      <c r="P67" s="32">
        <f>3000</f>
        <v>3000</v>
      </c>
      <c r="Q67" s="32"/>
      <c r="R67" s="32"/>
      <c r="S67" s="32">
        <f>2888.5</f>
        <v>2888.5</v>
      </c>
      <c r="T67" s="32"/>
      <c r="U67" s="32"/>
      <c r="V67" s="32"/>
      <c r="W67" s="33">
        <f>111.5</f>
        <v>111.5</v>
      </c>
      <c r="X67" s="33"/>
    </row>
    <row r="68" spans="1:24" s="1" customFormat="1" ht="13.5" customHeight="1">
      <c r="A68" s="30" t="s">
        <v>105</v>
      </c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1" t="s">
        <v>104</v>
      </c>
      <c r="M68" s="31"/>
      <c r="N68" s="31" t="s">
        <v>134</v>
      </c>
      <c r="O68" s="31"/>
      <c r="P68" s="32">
        <f>0</f>
        <v>0</v>
      </c>
      <c r="Q68" s="32"/>
      <c r="R68" s="32"/>
      <c r="S68" s="34" t="s">
        <v>46</v>
      </c>
      <c r="T68" s="34"/>
      <c r="U68" s="34"/>
      <c r="V68" s="34"/>
      <c r="W68" s="35" t="s">
        <v>46</v>
      </c>
      <c r="X68" s="35"/>
    </row>
    <row r="69" spans="1:24" s="1" customFormat="1" ht="33.75" customHeight="1">
      <c r="A69" s="30" t="s">
        <v>107</v>
      </c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1" t="s">
        <v>104</v>
      </c>
      <c r="M69" s="31"/>
      <c r="N69" s="31" t="s">
        <v>135</v>
      </c>
      <c r="O69" s="31"/>
      <c r="P69" s="32">
        <f>0</f>
        <v>0</v>
      </c>
      <c r="Q69" s="32"/>
      <c r="R69" s="32"/>
      <c r="S69" s="34" t="s">
        <v>46</v>
      </c>
      <c r="T69" s="34"/>
      <c r="U69" s="34"/>
      <c r="V69" s="34"/>
      <c r="W69" s="35" t="s">
        <v>46</v>
      </c>
      <c r="X69" s="35"/>
    </row>
    <row r="70" spans="1:24" s="1" customFormat="1" ht="13.5" customHeight="1">
      <c r="A70" s="30" t="s">
        <v>105</v>
      </c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1" t="s">
        <v>104</v>
      </c>
      <c r="M70" s="31"/>
      <c r="N70" s="31" t="s">
        <v>136</v>
      </c>
      <c r="O70" s="31"/>
      <c r="P70" s="32">
        <f>399231.95</f>
        <v>399231.95</v>
      </c>
      <c r="Q70" s="32"/>
      <c r="R70" s="32"/>
      <c r="S70" s="32">
        <f>199265</f>
        <v>199265</v>
      </c>
      <c r="T70" s="32"/>
      <c r="U70" s="32"/>
      <c r="V70" s="32"/>
      <c r="W70" s="33">
        <f>199966.95</f>
        <v>199966.95</v>
      </c>
      <c r="X70" s="33"/>
    </row>
    <row r="71" spans="1:24" s="1" customFormat="1" ht="33.75" customHeight="1">
      <c r="A71" s="30" t="s">
        <v>107</v>
      </c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1" t="s">
        <v>104</v>
      </c>
      <c r="M71" s="31"/>
      <c r="N71" s="31" t="s">
        <v>137</v>
      </c>
      <c r="O71" s="31"/>
      <c r="P71" s="32">
        <f>120568.05</f>
        <v>120568.05</v>
      </c>
      <c r="Q71" s="32"/>
      <c r="R71" s="32"/>
      <c r="S71" s="32">
        <f>59574.03</f>
        <v>59574.03</v>
      </c>
      <c r="T71" s="32"/>
      <c r="U71" s="32"/>
      <c r="V71" s="32"/>
      <c r="W71" s="33">
        <f>60994.02</f>
        <v>60994.02</v>
      </c>
      <c r="X71" s="33"/>
    </row>
    <row r="72" spans="1:24" s="1" customFormat="1" ht="13.5" customHeight="1">
      <c r="A72" s="30" t="s">
        <v>111</v>
      </c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1" t="s">
        <v>104</v>
      </c>
      <c r="M72" s="31"/>
      <c r="N72" s="31" t="s">
        <v>138</v>
      </c>
      <c r="O72" s="31"/>
      <c r="P72" s="32">
        <f>30000</f>
        <v>30000</v>
      </c>
      <c r="Q72" s="32"/>
      <c r="R72" s="32"/>
      <c r="S72" s="32">
        <f>12615.98</f>
        <v>12615.98</v>
      </c>
      <c r="T72" s="32"/>
      <c r="U72" s="32"/>
      <c r="V72" s="32"/>
      <c r="W72" s="33">
        <f>17384.02</f>
        <v>17384.02</v>
      </c>
      <c r="X72" s="33"/>
    </row>
    <row r="73" spans="1:24" s="1" customFormat="1" ht="13.5" customHeight="1">
      <c r="A73" s="30" t="s">
        <v>111</v>
      </c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1" t="s">
        <v>104</v>
      </c>
      <c r="M73" s="31"/>
      <c r="N73" s="31" t="s">
        <v>139</v>
      </c>
      <c r="O73" s="31"/>
      <c r="P73" s="32">
        <f>97500</f>
        <v>97500</v>
      </c>
      <c r="Q73" s="32"/>
      <c r="R73" s="32"/>
      <c r="S73" s="32">
        <f>97440</f>
        <v>97440</v>
      </c>
      <c r="T73" s="32"/>
      <c r="U73" s="32"/>
      <c r="V73" s="32"/>
      <c r="W73" s="33">
        <f>60</f>
        <v>60</v>
      </c>
      <c r="X73" s="33"/>
    </row>
    <row r="74" spans="1:24" s="1" customFormat="1" ht="13.5" customHeight="1">
      <c r="A74" s="30" t="s">
        <v>111</v>
      </c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1" t="s">
        <v>104</v>
      </c>
      <c r="M74" s="31"/>
      <c r="N74" s="31" t="s">
        <v>140</v>
      </c>
      <c r="O74" s="31"/>
      <c r="P74" s="32">
        <f>70000</f>
        <v>70000</v>
      </c>
      <c r="Q74" s="32"/>
      <c r="R74" s="32"/>
      <c r="S74" s="32">
        <f>70000</f>
        <v>70000</v>
      </c>
      <c r="T74" s="32"/>
      <c r="U74" s="32"/>
      <c r="V74" s="32"/>
      <c r="W74" s="33">
        <f>0</f>
        <v>0</v>
      </c>
      <c r="X74" s="33"/>
    </row>
    <row r="75" spans="1:24" s="1" customFormat="1" ht="13.5" customHeight="1">
      <c r="A75" s="30" t="s">
        <v>111</v>
      </c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1" t="s">
        <v>104</v>
      </c>
      <c r="M75" s="31"/>
      <c r="N75" s="31" t="s">
        <v>141</v>
      </c>
      <c r="O75" s="31"/>
      <c r="P75" s="32">
        <f>50000</f>
        <v>50000</v>
      </c>
      <c r="Q75" s="32"/>
      <c r="R75" s="32"/>
      <c r="S75" s="32">
        <f>0</f>
        <v>0</v>
      </c>
      <c r="T75" s="32"/>
      <c r="U75" s="32"/>
      <c r="V75" s="32"/>
      <c r="W75" s="33">
        <f>50000</f>
        <v>50000</v>
      </c>
      <c r="X75" s="33"/>
    </row>
    <row r="76" spans="1:24" s="1" customFormat="1" ht="13.5" customHeight="1">
      <c r="A76" s="30" t="s">
        <v>111</v>
      </c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1" t="s">
        <v>104</v>
      </c>
      <c r="M76" s="31"/>
      <c r="N76" s="31" t="s">
        <v>142</v>
      </c>
      <c r="O76" s="31"/>
      <c r="P76" s="32">
        <f>5000</f>
        <v>5000</v>
      </c>
      <c r="Q76" s="32"/>
      <c r="R76" s="32"/>
      <c r="S76" s="34" t="s">
        <v>46</v>
      </c>
      <c r="T76" s="34"/>
      <c r="U76" s="34"/>
      <c r="V76" s="34"/>
      <c r="W76" s="33">
        <f>5000</f>
        <v>5000</v>
      </c>
      <c r="X76" s="33"/>
    </row>
    <row r="77" spans="1:24" s="1" customFormat="1" ht="13.5" customHeight="1">
      <c r="A77" s="30" t="s">
        <v>120</v>
      </c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1" t="s">
        <v>104</v>
      </c>
      <c r="M77" s="31"/>
      <c r="N77" s="31" t="s">
        <v>143</v>
      </c>
      <c r="O77" s="31"/>
      <c r="P77" s="32">
        <f>20000</f>
        <v>20000</v>
      </c>
      <c r="Q77" s="32"/>
      <c r="R77" s="32"/>
      <c r="S77" s="34" t="s">
        <v>46</v>
      </c>
      <c r="T77" s="34"/>
      <c r="U77" s="34"/>
      <c r="V77" s="34"/>
      <c r="W77" s="33">
        <f>20000</f>
        <v>20000</v>
      </c>
      <c r="X77" s="33"/>
    </row>
    <row r="78" spans="1:24" s="1" customFormat="1" ht="13.5" customHeight="1">
      <c r="A78" s="30" t="s">
        <v>144</v>
      </c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1" t="s">
        <v>104</v>
      </c>
      <c r="M78" s="31"/>
      <c r="N78" s="31" t="s">
        <v>145</v>
      </c>
      <c r="O78" s="31"/>
      <c r="P78" s="32">
        <f>60000</f>
        <v>60000</v>
      </c>
      <c r="Q78" s="32"/>
      <c r="R78" s="32"/>
      <c r="S78" s="32">
        <f>56017.26</f>
        <v>56017.26</v>
      </c>
      <c r="T78" s="32"/>
      <c r="U78" s="32"/>
      <c r="V78" s="32"/>
      <c r="W78" s="33">
        <f>3982.74</f>
        <v>3982.74</v>
      </c>
      <c r="X78" s="33"/>
    </row>
    <row r="79" spans="1:24" s="1" customFormat="1" ht="13.5" customHeight="1">
      <c r="A79" s="30" t="s">
        <v>111</v>
      </c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1" t="s">
        <v>104</v>
      </c>
      <c r="M79" s="31"/>
      <c r="N79" s="31" t="s">
        <v>146</v>
      </c>
      <c r="O79" s="31"/>
      <c r="P79" s="32">
        <f>2831400</f>
        <v>2831400</v>
      </c>
      <c r="Q79" s="32"/>
      <c r="R79" s="32"/>
      <c r="S79" s="32">
        <f>2080390.13</f>
        <v>2080390.13</v>
      </c>
      <c r="T79" s="32"/>
      <c r="U79" s="32"/>
      <c r="V79" s="32"/>
      <c r="W79" s="33">
        <f>751009.87</f>
        <v>751009.87</v>
      </c>
      <c r="X79" s="33"/>
    </row>
    <row r="80" spans="1:24" s="1" customFormat="1" ht="24" customHeight="1">
      <c r="A80" s="30" t="s">
        <v>147</v>
      </c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1" t="s">
        <v>104</v>
      </c>
      <c r="M80" s="31"/>
      <c r="N80" s="31" t="s">
        <v>148</v>
      </c>
      <c r="O80" s="31"/>
      <c r="P80" s="32">
        <f>250000</f>
        <v>250000</v>
      </c>
      <c r="Q80" s="32"/>
      <c r="R80" s="32"/>
      <c r="S80" s="32">
        <f>100000</f>
        <v>100000</v>
      </c>
      <c r="T80" s="32"/>
      <c r="U80" s="32"/>
      <c r="V80" s="32"/>
      <c r="W80" s="33">
        <f>150000</f>
        <v>150000</v>
      </c>
      <c r="X80" s="33"/>
    </row>
    <row r="81" spans="1:24" s="1" customFormat="1" ht="13.5" customHeight="1">
      <c r="A81" s="30" t="s">
        <v>111</v>
      </c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1" t="s">
        <v>104</v>
      </c>
      <c r="M81" s="31"/>
      <c r="N81" s="31" t="s">
        <v>149</v>
      </c>
      <c r="O81" s="31"/>
      <c r="P81" s="32">
        <f>500000</f>
        <v>500000</v>
      </c>
      <c r="Q81" s="32"/>
      <c r="R81" s="32"/>
      <c r="S81" s="32">
        <f>172576.32</f>
        <v>172576.32</v>
      </c>
      <c r="T81" s="32"/>
      <c r="U81" s="32"/>
      <c r="V81" s="32"/>
      <c r="W81" s="33">
        <f>327423.68</f>
        <v>327423.68</v>
      </c>
      <c r="X81" s="33"/>
    </row>
    <row r="82" spans="1:24" s="1" customFormat="1" ht="13.5" customHeight="1">
      <c r="A82" s="30" t="s">
        <v>111</v>
      </c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1" t="s">
        <v>104</v>
      </c>
      <c r="M82" s="31"/>
      <c r="N82" s="31" t="s">
        <v>150</v>
      </c>
      <c r="O82" s="31"/>
      <c r="P82" s="32">
        <f>39799200</f>
        <v>39799200</v>
      </c>
      <c r="Q82" s="32"/>
      <c r="R82" s="32"/>
      <c r="S82" s="32">
        <f>38913426.35</f>
        <v>38913426.35</v>
      </c>
      <c r="T82" s="32"/>
      <c r="U82" s="32"/>
      <c r="V82" s="32"/>
      <c r="W82" s="33">
        <f>885773.65</f>
        <v>885773.65</v>
      </c>
      <c r="X82" s="33"/>
    </row>
    <row r="83" spans="1:24" s="1" customFormat="1" ht="13.5" customHeight="1">
      <c r="A83" s="30" t="s">
        <v>111</v>
      </c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1" t="s">
        <v>104</v>
      </c>
      <c r="M83" s="31"/>
      <c r="N83" s="31" t="s">
        <v>151</v>
      </c>
      <c r="O83" s="31"/>
      <c r="P83" s="32">
        <f>0</f>
        <v>0</v>
      </c>
      <c r="Q83" s="32"/>
      <c r="R83" s="32"/>
      <c r="S83" s="34" t="s">
        <v>46</v>
      </c>
      <c r="T83" s="34"/>
      <c r="U83" s="34"/>
      <c r="V83" s="34"/>
      <c r="W83" s="35" t="s">
        <v>46</v>
      </c>
      <c r="X83" s="35"/>
    </row>
    <row r="84" spans="1:24" s="1" customFormat="1" ht="13.5" customHeight="1">
      <c r="A84" s="30" t="s">
        <v>111</v>
      </c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1" t="s">
        <v>104</v>
      </c>
      <c r="M84" s="31"/>
      <c r="N84" s="31" t="s">
        <v>152</v>
      </c>
      <c r="O84" s="31"/>
      <c r="P84" s="32">
        <f>900000</f>
        <v>900000</v>
      </c>
      <c r="Q84" s="32"/>
      <c r="R84" s="32"/>
      <c r="S84" s="32">
        <f>683320.77</f>
        <v>683320.77</v>
      </c>
      <c r="T84" s="32"/>
      <c r="U84" s="32"/>
      <c r="V84" s="32"/>
      <c r="W84" s="33">
        <f>216679.23</f>
        <v>216679.23</v>
      </c>
      <c r="X84" s="33"/>
    </row>
    <row r="85" spans="1:24" s="1" customFormat="1" ht="13.5" customHeight="1">
      <c r="A85" s="30" t="s">
        <v>111</v>
      </c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1" t="s">
        <v>104</v>
      </c>
      <c r="M85" s="31"/>
      <c r="N85" s="31" t="s">
        <v>153</v>
      </c>
      <c r="O85" s="31"/>
      <c r="P85" s="32">
        <f>200000</f>
        <v>200000</v>
      </c>
      <c r="Q85" s="32"/>
      <c r="R85" s="32"/>
      <c r="S85" s="32">
        <f>200000</f>
        <v>200000</v>
      </c>
      <c r="T85" s="32"/>
      <c r="U85" s="32"/>
      <c r="V85" s="32"/>
      <c r="W85" s="33">
        <f>0</f>
        <v>0</v>
      </c>
      <c r="X85" s="33"/>
    </row>
    <row r="86" spans="1:24" s="1" customFormat="1" ht="13.5" customHeight="1">
      <c r="A86" s="30" t="s">
        <v>111</v>
      </c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1" t="s">
        <v>104</v>
      </c>
      <c r="M86" s="31"/>
      <c r="N86" s="31" t="s">
        <v>154</v>
      </c>
      <c r="O86" s="31"/>
      <c r="P86" s="32">
        <f>195000</f>
        <v>195000</v>
      </c>
      <c r="Q86" s="32"/>
      <c r="R86" s="32"/>
      <c r="S86" s="34" t="s">
        <v>46</v>
      </c>
      <c r="T86" s="34"/>
      <c r="U86" s="34"/>
      <c r="V86" s="34"/>
      <c r="W86" s="33">
        <f>195000</f>
        <v>195000</v>
      </c>
      <c r="X86" s="33"/>
    </row>
    <row r="87" spans="1:24" s="1" customFormat="1" ht="13.5" customHeight="1">
      <c r="A87" s="30" t="s">
        <v>111</v>
      </c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1" t="s">
        <v>104</v>
      </c>
      <c r="M87" s="31"/>
      <c r="N87" s="31" t="s">
        <v>155</v>
      </c>
      <c r="O87" s="31"/>
      <c r="P87" s="32">
        <f>50000</f>
        <v>50000</v>
      </c>
      <c r="Q87" s="32"/>
      <c r="R87" s="32"/>
      <c r="S87" s="32">
        <f>50000</f>
        <v>50000</v>
      </c>
      <c r="T87" s="32"/>
      <c r="U87" s="32"/>
      <c r="V87" s="32"/>
      <c r="W87" s="33">
        <f>0</f>
        <v>0</v>
      </c>
      <c r="X87" s="33"/>
    </row>
    <row r="88" spans="1:24" s="1" customFormat="1" ht="13.5" customHeight="1">
      <c r="A88" s="30" t="s">
        <v>111</v>
      </c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1" t="s">
        <v>104</v>
      </c>
      <c r="M88" s="31"/>
      <c r="N88" s="31" t="s">
        <v>156</v>
      </c>
      <c r="O88" s="31"/>
      <c r="P88" s="32">
        <f>25000</f>
        <v>25000</v>
      </c>
      <c r="Q88" s="32"/>
      <c r="R88" s="32"/>
      <c r="S88" s="32">
        <f>14500</f>
        <v>14500</v>
      </c>
      <c r="T88" s="32"/>
      <c r="U88" s="32"/>
      <c r="V88" s="32"/>
      <c r="W88" s="33">
        <f>10500</f>
        <v>10500</v>
      </c>
      <c r="X88" s="33"/>
    </row>
    <row r="89" spans="1:24" s="1" customFormat="1" ht="24" customHeight="1">
      <c r="A89" s="30" t="s">
        <v>157</v>
      </c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1" t="s">
        <v>104</v>
      </c>
      <c r="M89" s="31"/>
      <c r="N89" s="31" t="s">
        <v>158</v>
      </c>
      <c r="O89" s="31"/>
      <c r="P89" s="32">
        <f>128000</f>
        <v>128000</v>
      </c>
      <c r="Q89" s="32"/>
      <c r="R89" s="32"/>
      <c r="S89" s="32">
        <f>128000</f>
        <v>128000</v>
      </c>
      <c r="T89" s="32"/>
      <c r="U89" s="32"/>
      <c r="V89" s="32"/>
      <c r="W89" s="33">
        <f>0</f>
        <v>0</v>
      </c>
      <c r="X89" s="33"/>
    </row>
    <row r="90" spans="1:24" s="1" customFormat="1" ht="13.5" customHeight="1">
      <c r="A90" s="30" t="s">
        <v>113</v>
      </c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1" t="s">
        <v>104</v>
      </c>
      <c r="M90" s="31"/>
      <c r="N90" s="31" t="s">
        <v>159</v>
      </c>
      <c r="O90" s="31"/>
      <c r="P90" s="32">
        <f>22500</f>
        <v>22500</v>
      </c>
      <c r="Q90" s="32"/>
      <c r="R90" s="32"/>
      <c r="S90" s="32">
        <f>9650</f>
        <v>9650</v>
      </c>
      <c r="T90" s="32"/>
      <c r="U90" s="32"/>
      <c r="V90" s="32"/>
      <c r="W90" s="33">
        <f>12850</f>
        <v>12850</v>
      </c>
      <c r="X90" s="33"/>
    </row>
    <row r="91" spans="1:24" s="1" customFormat="1" ht="13.5" customHeight="1">
      <c r="A91" s="30" t="s">
        <v>115</v>
      </c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1" t="s">
        <v>104</v>
      </c>
      <c r="M91" s="31"/>
      <c r="N91" s="31" t="s">
        <v>160</v>
      </c>
      <c r="O91" s="31"/>
      <c r="P91" s="32">
        <f>0</f>
        <v>0</v>
      </c>
      <c r="Q91" s="32"/>
      <c r="R91" s="32"/>
      <c r="S91" s="34" t="s">
        <v>46</v>
      </c>
      <c r="T91" s="34"/>
      <c r="U91" s="34"/>
      <c r="V91" s="34"/>
      <c r="W91" s="35" t="s">
        <v>46</v>
      </c>
      <c r="X91" s="35"/>
    </row>
    <row r="92" spans="1:24" s="1" customFormat="1" ht="13.5" customHeight="1">
      <c r="A92" s="30" t="s">
        <v>111</v>
      </c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1" t="s">
        <v>104</v>
      </c>
      <c r="M92" s="31"/>
      <c r="N92" s="31" t="s">
        <v>161</v>
      </c>
      <c r="O92" s="31"/>
      <c r="P92" s="32">
        <f>1980000</f>
        <v>1980000</v>
      </c>
      <c r="Q92" s="32"/>
      <c r="R92" s="32"/>
      <c r="S92" s="32">
        <f>1410000</f>
        <v>1410000</v>
      </c>
      <c r="T92" s="32"/>
      <c r="U92" s="32"/>
      <c r="V92" s="32"/>
      <c r="W92" s="33">
        <f>570000</f>
        <v>570000</v>
      </c>
      <c r="X92" s="33"/>
    </row>
    <row r="93" spans="1:24" s="1" customFormat="1" ht="33.75" customHeight="1">
      <c r="A93" s="30" t="s">
        <v>162</v>
      </c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1" t="s">
        <v>104</v>
      </c>
      <c r="M93" s="31"/>
      <c r="N93" s="31" t="s">
        <v>163</v>
      </c>
      <c r="O93" s="31"/>
      <c r="P93" s="32">
        <f>200000</f>
        <v>200000</v>
      </c>
      <c r="Q93" s="32"/>
      <c r="R93" s="32"/>
      <c r="S93" s="34" t="s">
        <v>46</v>
      </c>
      <c r="T93" s="34"/>
      <c r="U93" s="34"/>
      <c r="V93" s="34"/>
      <c r="W93" s="33">
        <f>200000</f>
        <v>200000</v>
      </c>
      <c r="X93" s="33"/>
    </row>
    <row r="94" spans="1:24" s="1" customFormat="1" ht="24" customHeight="1">
      <c r="A94" s="30" t="s">
        <v>147</v>
      </c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1" t="s">
        <v>104</v>
      </c>
      <c r="M94" s="31"/>
      <c r="N94" s="31" t="s">
        <v>164</v>
      </c>
      <c r="O94" s="31"/>
      <c r="P94" s="32">
        <f>43300</f>
        <v>43300</v>
      </c>
      <c r="Q94" s="32"/>
      <c r="R94" s="32"/>
      <c r="S94" s="32">
        <f>43261.41</f>
        <v>43261.41</v>
      </c>
      <c r="T94" s="32"/>
      <c r="U94" s="32"/>
      <c r="V94" s="32"/>
      <c r="W94" s="33">
        <f>38.59</f>
        <v>38.59</v>
      </c>
      <c r="X94" s="33"/>
    </row>
    <row r="95" spans="1:24" s="1" customFormat="1" ht="13.5" customHeight="1">
      <c r="A95" s="30" t="s">
        <v>111</v>
      </c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1" t="s">
        <v>104</v>
      </c>
      <c r="M95" s="31"/>
      <c r="N95" s="31" t="s">
        <v>165</v>
      </c>
      <c r="O95" s="31"/>
      <c r="P95" s="32">
        <f>245800</f>
        <v>245800</v>
      </c>
      <c r="Q95" s="32"/>
      <c r="R95" s="32"/>
      <c r="S95" s="32">
        <f>226544.46</f>
        <v>226544.46</v>
      </c>
      <c r="T95" s="32"/>
      <c r="U95" s="32"/>
      <c r="V95" s="32"/>
      <c r="W95" s="33">
        <f>19255.54</f>
        <v>19255.54</v>
      </c>
      <c r="X95" s="33"/>
    </row>
    <row r="96" spans="1:24" s="1" customFormat="1" ht="13.5" customHeight="1">
      <c r="A96" s="30" t="s">
        <v>111</v>
      </c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1" t="s">
        <v>104</v>
      </c>
      <c r="M96" s="31"/>
      <c r="N96" s="31" t="s">
        <v>166</v>
      </c>
      <c r="O96" s="31"/>
      <c r="P96" s="32">
        <f>100000</f>
        <v>100000</v>
      </c>
      <c r="Q96" s="32"/>
      <c r="R96" s="32"/>
      <c r="S96" s="32">
        <f>99859.05</f>
        <v>99859.05</v>
      </c>
      <c r="T96" s="32"/>
      <c r="U96" s="32"/>
      <c r="V96" s="32"/>
      <c r="W96" s="33">
        <f>140.95</f>
        <v>140.95</v>
      </c>
      <c r="X96" s="33"/>
    </row>
    <row r="97" spans="1:24" s="1" customFormat="1" ht="13.5" customHeight="1">
      <c r="A97" s="30" t="s">
        <v>111</v>
      </c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1" t="s">
        <v>104</v>
      </c>
      <c r="M97" s="31"/>
      <c r="N97" s="31" t="s">
        <v>167</v>
      </c>
      <c r="O97" s="31"/>
      <c r="P97" s="32">
        <f>46000</f>
        <v>46000</v>
      </c>
      <c r="Q97" s="32"/>
      <c r="R97" s="32"/>
      <c r="S97" s="32">
        <f>46000</f>
        <v>46000</v>
      </c>
      <c r="T97" s="32"/>
      <c r="U97" s="32"/>
      <c r="V97" s="32"/>
      <c r="W97" s="33">
        <f>0</f>
        <v>0</v>
      </c>
      <c r="X97" s="33"/>
    </row>
    <row r="98" spans="1:24" s="1" customFormat="1" ht="13.5" customHeight="1">
      <c r="A98" s="30" t="s">
        <v>111</v>
      </c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1" t="s">
        <v>104</v>
      </c>
      <c r="M98" s="31"/>
      <c r="N98" s="31" t="s">
        <v>168</v>
      </c>
      <c r="O98" s="31"/>
      <c r="P98" s="32">
        <f>600000</f>
        <v>600000</v>
      </c>
      <c r="Q98" s="32"/>
      <c r="R98" s="32"/>
      <c r="S98" s="32">
        <f>489994.9</f>
        <v>489994.9</v>
      </c>
      <c r="T98" s="32"/>
      <c r="U98" s="32"/>
      <c r="V98" s="32"/>
      <c r="W98" s="33">
        <f>110005.1</f>
        <v>110005.1</v>
      </c>
      <c r="X98" s="33"/>
    </row>
    <row r="99" spans="1:24" s="1" customFormat="1" ht="13.5" customHeight="1">
      <c r="A99" s="30" t="s">
        <v>128</v>
      </c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1" t="s">
        <v>104</v>
      </c>
      <c r="M99" s="31"/>
      <c r="N99" s="31" t="s">
        <v>169</v>
      </c>
      <c r="O99" s="31"/>
      <c r="P99" s="32">
        <f>1800000</f>
        <v>1800000</v>
      </c>
      <c r="Q99" s="32"/>
      <c r="R99" s="32"/>
      <c r="S99" s="32">
        <f>898830.55</f>
        <v>898830.55</v>
      </c>
      <c r="T99" s="32"/>
      <c r="U99" s="32"/>
      <c r="V99" s="32"/>
      <c r="W99" s="33">
        <f>901169.45</f>
        <v>901169.45</v>
      </c>
      <c r="X99" s="33"/>
    </row>
    <row r="100" spans="1:24" s="1" customFormat="1" ht="13.5" customHeight="1">
      <c r="A100" s="30" t="s">
        <v>111</v>
      </c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1" t="s">
        <v>104</v>
      </c>
      <c r="M100" s="31"/>
      <c r="N100" s="31" t="s">
        <v>170</v>
      </c>
      <c r="O100" s="31"/>
      <c r="P100" s="32">
        <f>800000</f>
        <v>800000</v>
      </c>
      <c r="Q100" s="32"/>
      <c r="R100" s="32"/>
      <c r="S100" s="32">
        <f>471452.77</f>
        <v>471452.77</v>
      </c>
      <c r="T100" s="32"/>
      <c r="U100" s="32"/>
      <c r="V100" s="32"/>
      <c r="W100" s="33">
        <f>328547.23</f>
        <v>328547.23</v>
      </c>
      <c r="X100" s="33"/>
    </row>
    <row r="101" spans="1:24" s="1" customFormat="1" ht="13.5" customHeight="1">
      <c r="A101" s="30" t="s">
        <v>111</v>
      </c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1" t="s">
        <v>104</v>
      </c>
      <c r="M101" s="31"/>
      <c r="N101" s="31" t="s">
        <v>171</v>
      </c>
      <c r="O101" s="31"/>
      <c r="P101" s="32">
        <f>10000</f>
        <v>10000</v>
      </c>
      <c r="Q101" s="32"/>
      <c r="R101" s="32"/>
      <c r="S101" s="32">
        <f>9866.35</f>
        <v>9866.35</v>
      </c>
      <c r="T101" s="32"/>
      <c r="U101" s="32"/>
      <c r="V101" s="32"/>
      <c r="W101" s="33">
        <f>133.65</f>
        <v>133.65</v>
      </c>
      <c r="X101" s="33"/>
    </row>
    <row r="102" spans="1:24" s="1" customFormat="1" ht="13.5" customHeight="1">
      <c r="A102" s="30" t="s">
        <v>111</v>
      </c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1" t="s">
        <v>104</v>
      </c>
      <c r="M102" s="31"/>
      <c r="N102" s="31" t="s">
        <v>172</v>
      </c>
      <c r="O102" s="31"/>
      <c r="P102" s="32">
        <f>150000</f>
        <v>150000</v>
      </c>
      <c r="Q102" s="32"/>
      <c r="R102" s="32"/>
      <c r="S102" s="32">
        <f>141293.26</f>
        <v>141293.26</v>
      </c>
      <c r="T102" s="32"/>
      <c r="U102" s="32"/>
      <c r="V102" s="32"/>
      <c r="W102" s="33">
        <f>8706.74</f>
        <v>8706.74</v>
      </c>
      <c r="X102" s="33"/>
    </row>
    <row r="103" spans="1:24" s="1" customFormat="1" ht="13.5" customHeight="1">
      <c r="A103" s="30" t="s">
        <v>111</v>
      </c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1" t="s">
        <v>104</v>
      </c>
      <c r="M103" s="31"/>
      <c r="N103" s="31" t="s">
        <v>173</v>
      </c>
      <c r="O103" s="31"/>
      <c r="P103" s="32">
        <f>100000</f>
        <v>100000</v>
      </c>
      <c r="Q103" s="32"/>
      <c r="R103" s="32"/>
      <c r="S103" s="32">
        <f>99700</f>
        <v>99700</v>
      </c>
      <c r="T103" s="32"/>
      <c r="U103" s="32"/>
      <c r="V103" s="32"/>
      <c r="W103" s="33">
        <f>300</f>
        <v>300</v>
      </c>
      <c r="X103" s="33"/>
    </row>
    <row r="104" spans="1:24" s="1" customFormat="1" ht="13.5" customHeight="1">
      <c r="A104" s="30" t="s">
        <v>111</v>
      </c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1" t="s">
        <v>104</v>
      </c>
      <c r="M104" s="31"/>
      <c r="N104" s="31" t="s">
        <v>174</v>
      </c>
      <c r="O104" s="31"/>
      <c r="P104" s="32">
        <f>400000</f>
        <v>400000</v>
      </c>
      <c r="Q104" s="32"/>
      <c r="R104" s="32"/>
      <c r="S104" s="32">
        <f>396717.28</f>
        <v>396717.28</v>
      </c>
      <c r="T104" s="32"/>
      <c r="U104" s="32"/>
      <c r="V104" s="32"/>
      <c r="W104" s="33">
        <f>3282.72</f>
        <v>3282.72</v>
      </c>
      <c r="X104" s="33"/>
    </row>
    <row r="105" spans="1:24" s="1" customFormat="1" ht="13.5" customHeight="1">
      <c r="A105" s="30" t="s">
        <v>111</v>
      </c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1" t="s">
        <v>104</v>
      </c>
      <c r="M105" s="31"/>
      <c r="N105" s="31" t="s">
        <v>175</v>
      </c>
      <c r="O105" s="31"/>
      <c r="P105" s="32">
        <f>2642811.59</f>
        <v>2642811.59</v>
      </c>
      <c r="Q105" s="32"/>
      <c r="R105" s="32"/>
      <c r="S105" s="32">
        <f>2642646.4</f>
        <v>2642646.4</v>
      </c>
      <c r="T105" s="32"/>
      <c r="U105" s="32"/>
      <c r="V105" s="32"/>
      <c r="W105" s="33">
        <f>165.19</f>
        <v>165.19</v>
      </c>
      <c r="X105" s="33"/>
    </row>
    <row r="106" spans="1:24" s="1" customFormat="1" ht="13.5" customHeight="1">
      <c r="A106" s="30" t="s">
        <v>111</v>
      </c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1" t="s">
        <v>104</v>
      </c>
      <c r="M106" s="31"/>
      <c r="N106" s="31" t="s">
        <v>176</v>
      </c>
      <c r="O106" s="31"/>
      <c r="P106" s="32">
        <f>30000</f>
        <v>30000</v>
      </c>
      <c r="Q106" s="32"/>
      <c r="R106" s="32"/>
      <c r="S106" s="32">
        <f>29903.66</f>
        <v>29903.66</v>
      </c>
      <c r="T106" s="32"/>
      <c r="U106" s="32"/>
      <c r="V106" s="32"/>
      <c r="W106" s="33">
        <f>96.34</f>
        <v>96.34</v>
      </c>
      <c r="X106" s="33"/>
    </row>
    <row r="107" spans="1:24" s="1" customFormat="1" ht="33.75" customHeight="1">
      <c r="A107" s="30" t="s">
        <v>177</v>
      </c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1" t="s">
        <v>104</v>
      </c>
      <c r="M107" s="31"/>
      <c r="N107" s="31" t="s">
        <v>178</v>
      </c>
      <c r="O107" s="31"/>
      <c r="P107" s="32">
        <f>13425000</f>
        <v>13425000</v>
      </c>
      <c r="Q107" s="32"/>
      <c r="R107" s="32"/>
      <c r="S107" s="32">
        <f>9755500</f>
        <v>9755500</v>
      </c>
      <c r="T107" s="32"/>
      <c r="U107" s="32"/>
      <c r="V107" s="32"/>
      <c r="W107" s="33">
        <f>3669500</f>
        <v>3669500</v>
      </c>
      <c r="X107" s="33"/>
    </row>
    <row r="108" spans="1:24" s="1" customFormat="1" ht="33.75" customHeight="1">
      <c r="A108" s="30" t="s">
        <v>177</v>
      </c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1" t="s">
        <v>104</v>
      </c>
      <c r="M108" s="31"/>
      <c r="N108" s="31" t="s">
        <v>179</v>
      </c>
      <c r="O108" s="31"/>
      <c r="P108" s="32">
        <f>45000</f>
        <v>45000</v>
      </c>
      <c r="Q108" s="32"/>
      <c r="R108" s="32"/>
      <c r="S108" s="34" t="s">
        <v>46</v>
      </c>
      <c r="T108" s="34"/>
      <c r="U108" s="34"/>
      <c r="V108" s="34"/>
      <c r="W108" s="33">
        <f>45000</f>
        <v>45000</v>
      </c>
      <c r="X108" s="33"/>
    </row>
    <row r="109" spans="1:24" s="1" customFormat="1" ht="13.5" customHeight="1">
      <c r="A109" s="30" t="s">
        <v>111</v>
      </c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1" t="s">
        <v>104</v>
      </c>
      <c r="M109" s="31"/>
      <c r="N109" s="31" t="s">
        <v>180</v>
      </c>
      <c r="O109" s="31"/>
      <c r="P109" s="32">
        <f>180000</f>
        <v>180000</v>
      </c>
      <c r="Q109" s="32"/>
      <c r="R109" s="32"/>
      <c r="S109" s="32">
        <f>179095</f>
        <v>179095</v>
      </c>
      <c r="T109" s="32"/>
      <c r="U109" s="32"/>
      <c r="V109" s="32"/>
      <c r="W109" s="33">
        <f>905</f>
        <v>905</v>
      </c>
      <c r="X109" s="33"/>
    </row>
    <row r="110" spans="1:24" s="1" customFormat="1" ht="13.5" customHeight="1">
      <c r="A110" s="30" t="s">
        <v>181</v>
      </c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1" t="s">
        <v>104</v>
      </c>
      <c r="M110" s="31"/>
      <c r="N110" s="31" t="s">
        <v>182</v>
      </c>
      <c r="O110" s="31"/>
      <c r="P110" s="32">
        <f>587600</f>
        <v>587600</v>
      </c>
      <c r="Q110" s="32"/>
      <c r="R110" s="32"/>
      <c r="S110" s="32">
        <f>491003.35</f>
        <v>491003.35</v>
      </c>
      <c r="T110" s="32"/>
      <c r="U110" s="32"/>
      <c r="V110" s="32"/>
      <c r="W110" s="33">
        <f>96596.65</f>
        <v>96596.65</v>
      </c>
      <c r="X110" s="33"/>
    </row>
    <row r="111" spans="1:24" s="1" customFormat="1" ht="33.75" customHeight="1">
      <c r="A111" s="30" t="s">
        <v>177</v>
      </c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1" t="s">
        <v>104</v>
      </c>
      <c r="M111" s="31"/>
      <c r="N111" s="31" t="s">
        <v>183</v>
      </c>
      <c r="O111" s="31"/>
      <c r="P111" s="32">
        <f>2080000</f>
        <v>2080000</v>
      </c>
      <c r="Q111" s="32"/>
      <c r="R111" s="32"/>
      <c r="S111" s="32">
        <f>1406166</f>
        <v>1406166</v>
      </c>
      <c r="T111" s="32"/>
      <c r="U111" s="32"/>
      <c r="V111" s="32"/>
      <c r="W111" s="33">
        <f>673834</f>
        <v>673834</v>
      </c>
      <c r="X111" s="33"/>
    </row>
    <row r="112" spans="1:24" s="1" customFormat="1" ht="24" customHeight="1">
      <c r="A112" s="30" t="s">
        <v>184</v>
      </c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31" t="s">
        <v>104</v>
      </c>
      <c r="M112" s="31"/>
      <c r="N112" s="31" t="s">
        <v>185</v>
      </c>
      <c r="O112" s="31"/>
      <c r="P112" s="32">
        <f>510200</f>
        <v>510200</v>
      </c>
      <c r="Q112" s="32"/>
      <c r="R112" s="32"/>
      <c r="S112" s="32">
        <f>460627.06</f>
        <v>460627.06</v>
      </c>
      <c r="T112" s="32"/>
      <c r="U112" s="32"/>
      <c r="V112" s="32"/>
      <c r="W112" s="33">
        <f>49572.94</f>
        <v>49572.94</v>
      </c>
      <c r="X112" s="33"/>
    </row>
    <row r="113" spans="1:24" s="1" customFormat="1" ht="24" customHeight="1">
      <c r="A113" s="30" t="s">
        <v>184</v>
      </c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1" t="s">
        <v>104</v>
      </c>
      <c r="M113" s="31"/>
      <c r="N113" s="31" t="s">
        <v>186</v>
      </c>
      <c r="O113" s="31"/>
      <c r="P113" s="32">
        <f>70060700</f>
        <v>70060700</v>
      </c>
      <c r="Q113" s="32"/>
      <c r="R113" s="32"/>
      <c r="S113" s="34" t="s">
        <v>46</v>
      </c>
      <c r="T113" s="34"/>
      <c r="U113" s="34"/>
      <c r="V113" s="34"/>
      <c r="W113" s="33">
        <f>70060700</f>
        <v>70060700</v>
      </c>
      <c r="X113" s="33"/>
    </row>
    <row r="114" spans="1:24" s="1" customFormat="1" ht="24" customHeight="1">
      <c r="A114" s="30" t="s">
        <v>184</v>
      </c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1" t="s">
        <v>104</v>
      </c>
      <c r="M114" s="31"/>
      <c r="N114" s="31" t="s">
        <v>187</v>
      </c>
      <c r="O114" s="31"/>
      <c r="P114" s="32">
        <f>99000</f>
        <v>99000</v>
      </c>
      <c r="Q114" s="32"/>
      <c r="R114" s="32"/>
      <c r="S114" s="32">
        <f>30000</f>
        <v>30000</v>
      </c>
      <c r="T114" s="32"/>
      <c r="U114" s="32"/>
      <c r="V114" s="32"/>
      <c r="W114" s="33">
        <f>69000</f>
        <v>69000</v>
      </c>
      <c r="X114" s="33"/>
    </row>
    <row r="115" spans="1:24" s="1" customFormat="1" ht="24" customHeight="1">
      <c r="A115" s="30" t="s">
        <v>184</v>
      </c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1" t="s">
        <v>104</v>
      </c>
      <c r="M115" s="31"/>
      <c r="N115" s="31" t="s">
        <v>188</v>
      </c>
      <c r="O115" s="31"/>
      <c r="P115" s="32">
        <f>10000</f>
        <v>10000</v>
      </c>
      <c r="Q115" s="32"/>
      <c r="R115" s="32"/>
      <c r="S115" s="34" t="s">
        <v>46</v>
      </c>
      <c r="T115" s="34"/>
      <c r="U115" s="34"/>
      <c r="V115" s="34"/>
      <c r="W115" s="33">
        <f>10000</f>
        <v>10000</v>
      </c>
      <c r="X115" s="33"/>
    </row>
    <row r="116" spans="1:24" s="1" customFormat="1" ht="13.5" customHeight="1">
      <c r="A116" s="30" t="s">
        <v>111</v>
      </c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1" t="s">
        <v>104</v>
      </c>
      <c r="M116" s="31"/>
      <c r="N116" s="31" t="s">
        <v>189</v>
      </c>
      <c r="O116" s="31"/>
      <c r="P116" s="32">
        <f>800000</f>
        <v>800000</v>
      </c>
      <c r="Q116" s="32"/>
      <c r="R116" s="32"/>
      <c r="S116" s="32">
        <f>517478</f>
        <v>517478</v>
      </c>
      <c r="T116" s="32"/>
      <c r="U116" s="32"/>
      <c r="V116" s="32"/>
      <c r="W116" s="33">
        <f>282522</f>
        <v>282522</v>
      </c>
      <c r="X116" s="33"/>
    </row>
    <row r="117" spans="1:24" s="1" customFormat="1" ht="13.5" customHeight="1">
      <c r="A117" s="30" t="s">
        <v>190</v>
      </c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1" t="s">
        <v>104</v>
      </c>
      <c r="M117" s="31"/>
      <c r="N117" s="31" t="s">
        <v>191</v>
      </c>
      <c r="O117" s="31"/>
      <c r="P117" s="32">
        <f>320000</f>
        <v>320000</v>
      </c>
      <c r="Q117" s="32"/>
      <c r="R117" s="32"/>
      <c r="S117" s="32">
        <f>240219.17</f>
        <v>240219.17</v>
      </c>
      <c r="T117" s="32"/>
      <c r="U117" s="32"/>
      <c r="V117" s="32"/>
      <c r="W117" s="33">
        <f>79780.83</f>
        <v>79780.83</v>
      </c>
      <c r="X117" s="33"/>
    </row>
    <row r="118" spans="1:24" s="1" customFormat="1" ht="15" customHeight="1">
      <c r="A118" s="36" t="s">
        <v>192</v>
      </c>
      <c r="B118" s="36"/>
      <c r="C118" s="36"/>
      <c r="D118" s="36"/>
      <c r="E118" s="36"/>
      <c r="F118" s="36"/>
      <c r="G118" s="36"/>
      <c r="H118" s="36"/>
      <c r="I118" s="36"/>
      <c r="J118" s="36"/>
      <c r="K118" s="36"/>
      <c r="L118" s="37" t="s">
        <v>193</v>
      </c>
      <c r="M118" s="37"/>
      <c r="N118" s="37" t="s">
        <v>37</v>
      </c>
      <c r="O118" s="37"/>
      <c r="P118" s="38">
        <f>465988.41</f>
        <v>465988.41</v>
      </c>
      <c r="Q118" s="38"/>
      <c r="R118" s="38"/>
      <c r="S118" s="38">
        <f>3287893.69</f>
        <v>3287893.69</v>
      </c>
      <c r="T118" s="38"/>
      <c r="U118" s="38"/>
      <c r="V118" s="38"/>
      <c r="W118" s="39" t="s">
        <v>37</v>
      </c>
      <c r="X118" s="39"/>
    </row>
    <row r="119" spans="1:24" s="1" customFormat="1" ht="13.5" customHeight="1">
      <c r="A119" s="7" t="s">
        <v>17</v>
      </c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</row>
    <row r="120" spans="1:24" s="1" customFormat="1" ht="13.5" customHeight="1">
      <c r="A120" s="12" t="s">
        <v>194</v>
      </c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</row>
    <row r="121" spans="1:24" s="1" customFormat="1" ht="45.75" customHeight="1">
      <c r="A121" s="13" t="s">
        <v>23</v>
      </c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 t="s">
        <v>24</v>
      </c>
      <c r="M121" s="13"/>
      <c r="N121" s="13" t="s">
        <v>195</v>
      </c>
      <c r="O121" s="13"/>
      <c r="P121" s="14" t="s">
        <v>26</v>
      </c>
      <c r="Q121" s="14"/>
      <c r="R121" s="14"/>
      <c r="S121" s="14" t="s">
        <v>27</v>
      </c>
      <c r="T121" s="14"/>
      <c r="U121" s="14"/>
      <c r="V121" s="14"/>
      <c r="W121" s="15" t="s">
        <v>28</v>
      </c>
      <c r="X121" s="15"/>
    </row>
    <row r="122" spans="1:24" s="1" customFormat="1" ht="12.75" customHeight="1">
      <c r="A122" s="16" t="s">
        <v>29</v>
      </c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 t="s">
        <v>30</v>
      </c>
      <c r="M122" s="16"/>
      <c r="N122" s="16" t="s">
        <v>31</v>
      </c>
      <c r="O122" s="16"/>
      <c r="P122" s="17" t="s">
        <v>32</v>
      </c>
      <c r="Q122" s="17"/>
      <c r="R122" s="17"/>
      <c r="S122" s="17" t="s">
        <v>33</v>
      </c>
      <c r="T122" s="17"/>
      <c r="U122" s="17"/>
      <c r="V122" s="17"/>
      <c r="W122" s="18" t="s">
        <v>34</v>
      </c>
      <c r="X122" s="18"/>
    </row>
    <row r="123" spans="1:24" s="1" customFormat="1" ht="13.5" customHeight="1">
      <c r="A123" s="19" t="s">
        <v>196</v>
      </c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20" t="s">
        <v>197</v>
      </c>
      <c r="M123" s="20"/>
      <c r="N123" s="20" t="s">
        <v>37</v>
      </c>
      <c r="O123" s="20"/>
      <c r="P123" s="40">
        <f>-465988.41</f>
        <v>-465988.41</v>
      </c>
      <c r="Q123" s="40"/>
      <c r="R123" s="40"/>
      <c r="S123" s="21">
        <f>-3287893.69</f>
        <v>-3287893.69</v>
      </c>
      <c r="T123" s="21"/>
      <c r="U123" s="21"/>
      <c r="V123" s="21"/>
      <c r="W123" s="41" t="s">
        <v>37</v>
      </c>
      <c r="X123" s="41"/>
    </row>
    <row r="124" spans="1:24" s="1" customFormat="1" ht="13.5" customHeight="1">
      <c r="A124" s="42" t="s">
        <v>198</v>
      </c>
      <c r="B124" s="42"/>
      <c r="C124" s="42"/>
      <c r="D124" s="42"/>
      <c r="E124" s="42"/>
      <c r="F124" s="42"/>
      <c r="G124" s="42"/>
      <c r="H124" s="42"/>
      <c r="I124" s="42"/>
      <c r="J124" s="42"/>
      <c r="K124" s="42"/>
      <c r="L124" s="43" t="s">
        <v>17</v>
      </c>
      <c r="M124" s="43"/>
      <c r="N124" s="43" t="s">
        <v>17</v>
      </c>
      <c r="O124" s="43"/>
      <c r="P124" s="44" t="s">
        <v>17</v>
      </c>
      <c r="Q124" s="44"/>
      <c r="R124" s="44"/>
      <c r="S124" s="45" t="s">
        <v>17</v>
      </c>
      <c r="T124" s="45"/>
      <c r="U124" s="45"/>
      <c r="V124" s="45"/>
      <c r="W124" s="46" t="s">
        <v>17</v>
      </c>
      <c r="X124" s="46"/>
    </row>
    <row r="125" spans="1:24" s="1" customFormat="1" ht="13.5" customHeight="1">
      <c r="A125" s="23" t="s">
        <v>199</v>
      </c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47" t="s">
        <v>200</v>
      </c>
      <c r="M125" s="47"/>
      <c r="N125" s="24" t="s">
        <v>37</v>
      </c>
      <c r="O125" s="24"/>
      <c r="P125" s="48">
        <f>-2000000</f>
        <v>-2000000</v>
      </c>
      <c r="Q125" s="48"/>
      <c r="R125" s="48"/>
      <c r="S125" s="27" t="s">
        <v>46</v>
      </c>
      <c r="T125" s="27"/>
      <c r="U125" s="27"/>
      <c r="V125" s="27"/>
      <c r="W125" s="49">
        <f>-2000000</f>
        <v>-2000000</v>
      </c>
      <c r="X125" s="49"/>
    </row>
    <row r="126" spans="1:24" s="1" customFormat="1" ht="24" customHeight="1">
      <c r="A126" s="30" t="s">
        <v>201</v>
      </c>
      <c r="B126" s="30"/>
      <c r="C126" s="30"/>
      <c r="D126" s="30"/>
      <c r="E126" s="30"/>
      <c r="F126" s="30"/>
      <c r="G126" s="30"/>
      <c r="H126" s="30"/>
      <c r="I126" s="30"/>
      <c r="J126" s="30"/>
      <c r="K126" s="30"/>
      <c r="L126" s="31" t="s">
        <v>200</v>
      </c>
      <c r="M126" s="31"/>
      <c r="N126" s="31" t="s">
        <v>202</v>
      </c>
      <c r="O126" s="31"/>
      <c r="P126" s="50">
        <f>-2000000</f>
        <v>-2000000</v>
      </c>
      <c r="Q126" s="50"/>
      <c r="R126" s="50"/>
      <c r="S126" s="34" t="s">
        <v>46</v>
      </c>
      <c r="T126" s="34"/>
      <c r="U126" s="34"/>
      <c r="V126" s="34"/>
      <c r="W126" s="51">
        <f>-2000000</f>
        <v>-2000000</v>
      </c>
      <c r="X126" s="51"/>
    </row>
    <row r="127" spans="1:24" s="1" customFormat="1" ht="13.5" customHeight="1">
      <c r="A127" s="30" t="s">
        <v>203</v>
      </c>
      <c r="B127" s="30"/>
      <c r="C127" s="30"/>
      <c r="D127" s="30"/>
      <c r="E127" s="30"/>
      <c r="F127" s="30"/>
      <c r="G127" s="30"/>
      <c r="H127" s="30"/>
      <c r="I127" s="30"/>
      <c r="J127" s="30"/>
      <c r="K127" s="30"/>
      <c r="L127" s="43" t="s">
        <v>204</v>
      </c>
      <c r="M127" s="43"/>
      <c r="N127" s="43" t="s">
        <v>37</v>
      </c>
      <c r="O127" s="43"/>
      <c r="P127" s="44" t="s">
        <v>46</v>
      </c>
      <c r="Q127" s="44"/>
      <c r="R127" s="44"/>
      <c r="S127" s="34" t="s">
        <v>46</v>
      </c>
      <c r="T127" s="34"/>
      <c r="U127" s="34"/>
      <c r="V127" s="34"/>
      <c r="W127" s="46" t="s">
        <v>46</v>
      </c>
      <c r="X127" s="46"/>
    </row>
    <row r="128" spans="1:24" s="1" customFormat="1" ht="13.5" customHeight="1">
      <c r="A128" s="30" t="s">
        <v>17</v>
      </c>
      <c r="B128" s="30"/>
      <c r="C128" s="30"/>
      <c r="D128" s="30"/>
      <c r="E128" s="30"/>
      <c r="F128" s="30"/>
      <c r="G128" s="30"/>
      <c r="H128" s="30"/>
      <c r="I128" s="30"/>
      <c r="J128" s="30"/>
      <c r="K128" s="30"/>
      <c r="L128" s="31" t="s">
        <v>204</v>
      </c>
      <c r="M128" s="31"/>
      <c r="N128" s="31" t="s">
        <v>17</v>
      </c>
      <c r="O128" s="31"/>
      <c r="P128" s="52" t="s">
        <v>46</v>
      </c>
      <c r="Q128" s="52"/>
      <c r="R128" s="52"/>
      <c r="S128" s="34" t="s">
        <v>46</v>
      </c>
      <c r="T128" s="34"/>
      <c r="U128" s="34"/>
      <c r="V128" s="34"/>
      <c r="W128" s="53" t="s">
        <v>46</v>
      </c>
      <c r="X128" s="53"/>
    </row>
    <row r="129" spans="1:24" s="1" customFormat="1" ht="13.5" customHeight="1">
      <c r="A129" s="30" t="s">
        <v>205</v>
      </c>
      <c r="B129" s="30"/>
      <c r="C129" s="30"/>
      <c r="D129" s="30"/>
      <c r="E129" s="30"/>
      <c r="F129" s="30"/>
      <c r="G129" s="30"/>
      <c r="H129" s="30"/>
      <c r="I129" s="30"/>
      <c r="J129" s="30"/>
      <c r="K129" s="30"/>
      <c r="L129" s="31" t="s">
        <v>206</v>
      </c>
      <c r="M129" s="31"/>
      <c r="N129" s="31" t="s">
        <v>207</v>
      </c>
      <c r="O129" s="31"/>
      <c r="P129" s="50">
        <f>1534011.59</f>
        <v>1534011.59</v>
      </c>
      <c r="Q129" s="50"/>
      <c r="R129" s="50"/>
      <c r="S129" s="32">
        <f>-3287893.69</f>
        <v>-3287893.69</v>
      </c>
      <c r="T129" s="32"/>
      <c r="U129" s="32"/>
      <c r="V129" s="32"/>
      <c r="W129" s="51">
        <f>4821905.28</f>
        <v>4821905.28</v>
      </c>
      <c r="X129" s="51"/>
    </row>
    <row r="130" spans="1:24" s="1" customFormat="1" ht="13.5" customHeight="1">
      <c r="A130" s="30" t="s">
        <v>208</v>
      </c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1" t="s">
        <v>209</v>
      </c>
      <c r="M130" s="31"/>
      <c r="N130" s="31" t="s">
        <v>210</v>
      </c>
      <c r="O130" s="31"/>
      <c r="P130" s="50">
        <f>-163800700</f>
        <v>-163800700</v>
      </c>
      <c r="Q130" s="50"/>
      <c r="R130" s="50"/>
      <c r="S130" s="32">
        <f>-81245612.92</f>
        <v>-81245612.92</v>
      </c>
      <c r="T130" s="32"/>
      <c r="U130" s="32"/>
      <c r="V130" s="32"/>
      <c r="W130" s="54" t="s">
        <v>37</v>
      </c>
      <c r="X130" s="54"/>
    </row>
    <row r="131" spans="1:24" s="1" customFormat="1" ht="13.5" customHeight="1">
      <c r="A131" s="30" t="s">
        <v>211</v>
      </c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1" t="s">
        <v>212</v>
      </c>
      <c r="M131" s="31"/>
      <c r="N131" s="31" t="s">
        <v>213</v>
      </c>
      <c r="O131" s="31"/>
      <c r="P131" s="50">
        <f>165334711.59</f>
        <v>165334711.59</v>
      </c>
      <c r="Q131" s="50"/>
      <c r="R131" s="50"/>
      <c r="S131" s="32">
        <f>77957719.23</f>
        <v>77957719.23</v>
      </c>
      <c r="T131" s="32"/>
      <c r="U131" s="32"/>
      <c r="V131" s="32"/>
      <c r="W131" s="54" t="s">
        <v>37</v>
      </c>
      <c r="X131" s="54"/>
    </row>
    <row r="132" spans="1:24" s="1" customFormat="1" ht="13.5" customHeight="1">
      <c r="A132" s="56" t="s">
        <v>17</v>
      </c>
      <c r="B132" s="56"/>
      <c r="C132" s="56"/>
      <c r="D132" s="56"/>
      <c r="E132" s="56"/>
      <c r="F132" s="56"/>
      <c r="G132" s="56"/>
      <c r="H132" s="56"/>
      <c r="I132" s="56"/>
      <c r="J132" s="56"/>
      <c r="K132" s="56"/>
      <c r="L132" s="56"/>
      <c r="M132" s="56"/>
      <c r="N132" s="56"/>
      <c r="O132" s="56"/>
      <c r="P132" s="56"/>
      <c r="Q132" s="56"/>
      <c r="R132" s="56"/>
      <c r="S132" s="56"/>
      <c r="T132" s="56"/>
      <c r="U132" s="56"/>
      <c r="V132" s="56"/>
      <c r="W132" s="56"/>
      <c r="X132" s="56"/>
    </row>
    <row r="133" spans="1:24" s="1" customFormat="1" ht="24" customHeight="1">
      <c r="A133" s="7" t="s">
        <v>214</v>
      </c>
      <c r="B133" s="7"/>
      <c r="C133" s="7"/>
      <c r="D133" s="7"/>
      <c r="E133" s="7"/>
      <c r="F133" s="7"/>
      <c r="G133" s="7"/>
      <c r="H133" s="7"/>
      <c r="I133" s="55" t="s">
        <v>17</v>
      </c>
      <c r="J133" s="55"/>
      <c r="K133" s="55"/>
      <c r="L133" s="55"/>
      <c r="M133" s="55"/>
      <c r="N133" s="55" t="s">
        <v>215</v>
      </c>
      <c r="O133" s="55"/>
      <c r="P133" s="55"/>
      <c r="Q133" s="55"/>
      <c r="R133" s="7" t="s">
        <v>17</v>
      </c>
      <c r="S133" s="7"/>
      <c r="T133" s="7"/>
      <c r="U133" s="7"/>
      <c r="V133" s="7"/>
      <c r="W133" s="7"/>
      <c r="X133" s="7"/>
    </row>
    <row r="134" spans="1:24" s="1" customFormat="1" ht="13.5" customHeight="1">
      <c r="A134" s="7" t="s">
        <v>17</v>
      </c>
      <c r="B134" s="7"/>
      <c r="C134" s="7"/>
      <c r="D134" s="7"/>
      <c r="E134" s="7"/>
      <c r="F134" s="7"/>
      <c r="G134" s="7"/>
      <c r="H134" s="7"/>
      <c r="I134" s="10" t="s">
        <v>17</v>
      </c>
      <c r="J134" s="57" t="s">
        <v>216</v>
      </c>
      <c r="K134" s="57"/>
      <c r="L134" s="57"/>
      <c r="M134" s="10" t="s">
        <v>17</v>
      </c>
      <c r="N134" s="10" t="s">
        <v>17</v>
      </c>
      <c r="O134" s="57" t="s">
        <v>217</v>
      </c>
      <c r="P134" s="57"/>
      <c r="Q134" s="7" t="s">
        <v>17</v>
      </c>
      <c r="R134" s="7"/>
      <c r="S134" s="7"/>
      <c r="T134" s="7"/>
      <c r="U134" s="7"/>
      <c r="V134" s="7"/>
      <c r="W134" s="7"/>
      <c r="X134" s="7"/>
    </row>
    <row r="135" spans="1:24" s="1" customFormat="1" ht="7.5" customHeight="1">
      <c r="A135" s="7" t="s">
        <v>17</v>
      </c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</row>
    <row r="136" spans="1:24" s="1" customFormat="1" ht="13.5" customHeight="1">
      <c r="A136" s="7" t="s">
        <v>218</v>
      </c>
      <c r="B136" s="7"/>
      <c r="C136" s="7"/>
      <c r="D136" s="7"/>
      <c r="E136" s="7"/>
      <c r="F136" s="7"/>
      <c r="G136" s="7"/>
      <c r="H136" s="7"/>
      <c r="I136" s="55" t="s">
        <v>17</v>
      </c>
      <c r="J136" s="55"/>
      <c r="K136" s="55"/>
      <c r="L136" s="55"/>
      <c r="M136" s="55"/>
      <c r="N136" s="55" t="s">
        <v>219</v>
      </c>
      <c r="O136" s="55"/>
      <c r="P136" s="55"/>
      <c r="Q136" s="55"/>
      <c r="R136" s="7" t="s">
        <v>17</v>
      </c>
      <c r="S136" s="7"/>
      <c r="T136" s="7"/>
      <c r="U136" s="7"/>
      <c r="V136" s="7"/>
      <c r="W136" s="7"/>
      <c r="X136" s="7"/>
    </row>
    <row r="137" spans="1:24" s="1" customFormat="1" ht="13.5" customHeight="1">
      <c r="A137" s="7" t="s">
        <v>17</v>
      </c>
      <c r="B137" s="7"/>
      <c r="C137" s="7"/>
      <c r="D137" s="7"/>
      <c r="E137" s="7"/>
      <c r="F137" s="7"/>
      <c r="G137" s="7"/>
      <c r="H137" s="7"/>
      <c r="I137" s="10" t="s">
        <v>17</v>
      </c>
      <c r="J137" s="57" t="s">
        <v>216</v>
      </c>
      <c r="K137" s="57"/>
      <c r="L137" s="57"/>
      <c r="M137" s="10" t="s">
        <v>17</v>
      </c>
      <c r="N137" s="10" t="s">
        <v>17</v>
      </c>
      <c r="O137" s="57" t="s">
        <v>217</v>
      </c>
      <c r="P137" s="57"/>
      <c r="Q137" s="7" t="s">
        <v>17</v>
      </c>
      <c r="R137" s="7"/>
      <c r="S137" s="7"/>
      <c r="T137" s="7"/>
      <c r="U137" s="7"/>
      <c r="V137" s="7"/>
      <c r="W137" s="7"/>
      <c r="X137" s="7"/>
    </row>
    <row r="138" spans="1:24" s="1" customFormat="1" ht="7.5" customHeight="1">
      <c r="A138" s="7" t="s">
        <v>17</v>
      </c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</row>
    <row r="139" spans="1:24" s="1" customFormat="1" ht="13.5" customHeight="1">
      <c r="A139" s="7" t="s">
        <v>220</v>
      </c>
      <c r="B139" s="7"/>
      <c r="C139" s="55" t="s">
        <v>221</v>
      </c>
      <c r="D139" s="55"/>
      <c r="E139" s="55"/>
      <c r="F139" s="55"/>
      <c r="G139" s="55"/>
      <c r="H139" s="55"/>
      <c r="I139" s="55" t="s">
        <v>17</v>
      </c>
      <c r="J139" s="55"/>
      <c r="K139" s="55"/>
      <c r="L139" s="55"/>
      <c r="M139" s="55"/>
      <c r="N139" s="55" t="s">
        <v>222</v>
      </c>
      <c r="O139" s="55"/>
      <c r="P139" s="55"/>
      <c r="Q139" s="55"/>
      <c r="R139" s="7" t="s">
        <v>17</v>
      </c>
      <c r="S139" s="7"/>
      <c r="T139" s="7"/>
      <c r="U139" s="7"/>
      <c r="V139" s="7"/>
      <c r="W139" s="7"/>
      <c r="X139" s="7"/>
    </row>
    <row r="140" spans="1:24" s="1" customFormat="1" ht="13.5" customHeight="1">
      <c r="A140" s="7" t="s">
        <v>17</v>
      </c>
      <c r="B140" s="7"/>
      <c r="C140" s="10" t="s">
        <v>17</v>
      </c>
      <c r="D140" s="57" t="s">
        <v>223</v>
      </c>
      <c r="E140" s="57"/>
      <c r="F140" s="57"/>
      <c r="G140" s="57"/>
      <c r="H140" s="10" t="s">
        <v>17</v>
      </c>
      <c r="I140" s="10" t="s">
        <v>17</v>
      </c>
      <c r="J140" s="57" t="s">
        <v>216</v>
      </c>
      <c r="K140" s="57"/>
      <c r="L140" s="57"/>
      <c r="M140" s="10" t="s">
        <v>17</v>
      </c>
      <c r="N140" s="10" t="s">
        <v>17</v>
      </c>
      <c r="O140" s="57" t="s">
        <v>217</v>
      </c>
      <c r="P140" s="57"/>
      <c r="Q140" s="7" t="s">
        <v>17</v>
      </c>
      <c r="R140" s="7"/>
      <c r="S140" s="7"/>
      <c r="T140" s="7"/>
      <c r="U140" s="7"/>
      <c r="V140" s="7"/>
      <c r="W140" s="7"/>
      <c r="X140" s="7"/>
    </row>
    <row r="141" spans="1:24" s="1" customFormat="1" ht="15.75" customHeight="1">
      <c r="A141" s="7" t="s">
        <v>17</v>
      </c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</row>
    <row r="142" spans="1:24" s="1" customFormat="1" ht="13.5" customHeight="1">
      <c r="A142" s="58" t="s">
        <v>224</v>
      </c>
      <c r="B142" s="58"/>
      <c r="C142" s="58"/>
      <c r="D142" s="58"/>
      <c r="E142" s="58"/>
      <c r="F142" s="58"/>
      <c r="G142" s="58"/>
      <c r="H142" s="58"/>
      <c r="I142" s="58"/>
      <c r="J142" s="58"/>
      <c r="K142" s="7" t="s">
        <v>17</v>
      </c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</row>
    <row r="143" spans="1:24" s="1" customFormat="1" ht="13.5" customHeight="1">
      <c r="A143" s="4" t="s">
        <v>225</v>
      </c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</row>
  </sheetData>
  <sheetProtection/>
  <mergeCells count="761">
    <mergeCell ref="A142:J142"/>
    <mergeCell ref="K142:X142"/>
    <mergeCell ref="A143:X143"/>
    <mergeCell ref="A140:B140"/>
    <mergeCell ref="D140:G140"/>
    <mergeCell ref="J140:L140"/>
    <mergeCell ref="O140:P140"/>
    <mergeCell ref="Q140:X140"/>
    <mergeCell ref="A141:X141"/>
    <mergeCell ref="A138:X138"/>
    <mergeCell ref="A139:B139"/>
    <mergeCell ref="C139:H139"/>
    <mergeCell ref="I139:M139"/>
    <mergeCell ref="N139:Q139"/>
    <mergeCell ref="R139:X139"/>
    <mergeCell ref="A135:X135"/>
    <mergeCell ref="A136:H136"/>
    <mergeCell ref="I136:M136"/>
    <mergeCell ref="N136:Q136"/>
    <mergeCell ref="R136:X136"/>
    <mergeCell ref="A137:H137"/>
    <mergeCell ref="J137:L137"/>
    <mergeCell ref="O137:P137"/>
    <mergeCell ref="Q137:X137"/>
    <mergeCell ref="A132:X132"/>
    <mergeCell ref="A133:H133"/>
    <mergeCell ref="I133:M133"/>
    <mergeCell ref="N133:Q133"/>
    <mergeCell ref="R133:X133"/>
    <mergeCell ref="A134:H134"/>
    <mergeCell ref="J134:L134"/>
    <mergeCell ref="O134:P134"/>
    <mergeCell ref="Q134:X134"/>
    <mergeCell ref="A131:K131"/>
    <mergeCell ref="L131:M131"/>
    <mergeCell ref="N131:O131"/>
    <mergeCell ref="P131:R131"/>
    <mergeCell ref="S131:V131"/>
    <mergeCell ref="W131:X131"/>
    <mergeCell ref="A130:K130"/>
    <mergeCell ref="L130:M130"/>
    <mergeCell ref="N130:O130"/>
    <mergeCell ref="P130:R130"/>
    <mergeCell ref="S130:V130"/>
    <mergeCell ref="W130:X130"/>
    <mergeCell ref="A129:K129"/>
    <mergeCell ref="L129:M129"/>
    <mergeCell ref="N129:O129"/>
    <mergeCell ref="P129:R129"/>
    <mergeCell ref="S129:V129"/>
    <mergeCell ref="W129:X129"/>
    <mergeCell ref="A128:K128"/>
    <mergeCell ref="L128:M128"/>
    <mergeCell ref="N128:O128"/>
    <mergeCell ref="P128:R128"/>
    <mergeCell ref="S128:V128"/>
    <mergeCell ref="W128:X128"/>
    <mergeCell ref="A127:K127"/>
    <mergeCell ref="L127:M127"/>
    <mergeCell ref="N127:O127"/>
    <mergeCell ref="P127:R127"/>
    <mergeCell ref="S127:V127"/>
    <mergeCell ref="W127:X127"/>
    <mergeCell ref="A126:K126"/>
    <mergeCell ref="L126:M126"/>
    <mergeCell ref="N126:O126"/>
    <mergeCell ref="P126:R126"/>
    <mergeCell ref="S126:V126"/>
    <mergeCell ref="W126:X126"/>
    <mergeCell ref="A125:K125"/>
    <mergeCell ref="L125:M125"/>
    <mergeCell ref="N125:O125"/>
    <mergeCell ref="P125:R125"/>
    <mergeCell ref="S125:V125"/>
    <mergeCell ref="W125:X125"/>
    <mergeCell ref="A124:K124"/>
    <mergeCell ref="L124:M124"/>
    <mergeCell ref="N124:O124"/>
    <mergeCell ref="P124:R124"/>
    <mergeCell ref="S124:V124"/>
    <mergeCell ref="W124:X124"/>
    <mergeCell ref="A123:K123"/>
    <mergeCell ref="L123:M123"/>
    <mergeCell ref="N123:O123"/>
    <mergeCell ref="P123:R123"/>
    <mergeCell ref="S123:V123"/>
    <mergeCell ref="W123:X123"/>
    <mergeCell ref="A122:K122"/>
    <mergeCell ref="L122:M122"/>
    <mergeCell ref="N122:O122"/>
    <mergeCell ref="P122:R122"/>
    <mergeCell ref="S122:V122"/>
    <mergeCell ref="W122:X122"/>
    <mergeCell ref="A119:X119"/>
    <mergeCell ref="A120:X120"/>
    <mergeCell ref="A121:K121"/>
    <mergeCell ref="L121:M121"/>
    <mergeCell ref="N121:O121"/>
    <mergeCell ref="P121:R121"/>
    <mergeCell ref="S121:V121"/>
    <mergeCell ref="W121:X121"/>
    <mergeCell ref="A118:K118"/>
    <mergeCell ref="L118:M118"/>
    <mergeCell ref="N118:O118"/>
    <mergeCell ref="P118:R118"/>
    <mergeCell ref="S118:V118"/>
    <mergeCell ref="W118:X118"/>
    <mergeCell ref="A117:K117"/>
    <mergeCell ref="L117:M117"/>
    <mergeCell ref="N117:O117"/>
    <mergeCell ref="P117:R117"/>
    <mergeCell ref="S117:V117"/>
    <mergeCell ref="W117:X117"/>
    <mergeCell ref="A116:K116"/>
    <mergeCell ref="L116:M116"/>
    <mergeCell ref="N116:O116"/>
    <mergeCell ref="P116:R116"/>
    <mergeCell ref="S116:V116"/>
    <mergeCell ref="W116:X116"/>
    <mergeCell ref="A115:K115"/>
    <mergeCell ref="L115:M115"/>
    <mergeCell ref="N115:O115"/>
    <mergeCell ref="P115:R115"/>
    <mergeCell ref="S115:V115"/>
    <mergeCell ref="W115:X115"/>
    <mergeCell ref="A114:K114"/>
    <mergeCell ref="L114:M114"/>
    <mergeCell ref="N114:O114"/>
    <mergeCell ref="P114:R114"/>
    <mergeCell ref="S114:V114"/>
    <mergeCell ref="W114:X114"/>
    <mergeCell ref="A113:K113"/>
    <mergeCell ref="L113:M113"/>
    <mergeCell ref="N113:O113"/>
    <mergeCell ref="P113:R113"/>
    <mergeCell ref="S113:V113"/>
    <mergeCell ref="W113:X113"/>
    <mergeCell ref="A112:K112"/>
    <mergeCell ref="L112:M112"/>
    <mergeCell ref="N112:O112"/>
    <mergeCell ref="P112:R112"/>
    <mergeCell ref="S112:V112"/>
    <mergeCell ref="W112:X112"/>
    <mergeCell ref="A111:K111"/>
    <mergeCell ref="L111:M111"/>
    <mergeCell ref="N111:O111"/>
    <mergeCell ref="P111:R111"/>
    <mergeCell ref="S111:V111"/>
    <mergeCell ref="W111:X111"/>
    <mergeCell ref="A110:K110"/>
    <mergeCell ref="L110:M110"/>
    <mergeCell ref="N110:O110"/>
    <mergeCell ref="P110:R110"/>
    <mergeCell ref="S110:V110"/>
    <mergeCell ref="W110:X110"/>
    <mergeCell ref="A109:K109"/>
    <mergeCell ref="L109:M109"/>
    <mergeCell ref="N109:O109"/>
    <mergeCell ref="P109:R109"/>
    <mergeCell ref="S109:V109"/>
    <mergeCell ref="W109:X109"/>
    <mergeCell ref="A108:K108"/>
    <mergeCell ref="L108:M108"/>
    <mergeCell ref="N108:O108"/>
    <mergeCell ref="P108:R108"/>
    <mergeCell ref="S108:V108"/>
    <mergeCell ref="W108:X108"/>
    <mergeCell ref="A107:K107"/>
    <mergeCell ref="L107:M107"/>
    <mergeCell ref="N107:O107"/>
    <mergeCell ref="P107:R107"/>
    <mergeCell ref="S107:V107"/>
    <mergeCell ref="W107:X107"/>
    <mergeCell ref="A106:K106"/>
    <mergeCell ref="L106:M106"/>
    <mergeCell ref="N106:O106"/>
    <mergeCell ref="P106:R106"/>
    <mergeCell ref="S106:V106"/>
    <mergeCell ref="W106:X106"/>
    <mergeCell ref="A105:K105"/>
    <mergeCell ref="L105:M105"/>
    <mergeCell ref="N105:O105"/>
    <mergeCell ref="P105:R105"/>
    <mergeCell ref="S105:V105"/>
    <mergeCell ref="W105:X105"/>
    <mergeCell ref="A104:K104"/>
    <mergeCell ref="L104:M104"/>
    <mergeCell ref="N104:O104"/>
    <mergeCell ref="P104:R104"/>
    <mergeCell ref="S104:V104"/>
    <mergeCell ref="W104:X104"/>
    <mergeCell ref="A103:K103"/>
    <mergeCell ref="L103:M103"/>
    <mergeCell ref="N103:O103"/>
    <mergeCell ref="P103:R103"/>
    <mergeCell ref="S103:V103"/>
    <mergeCell ref="W103:X103"/>
    <mergeCell ref="A102:K102"/>
    <mergeCell ref="L102:M102"/>
    <mergeCell ref="N102:O102"/>
    <mergeCell ref="P102:R102"/>
    <mergeCell ref="S102:V102"/>
    <mergeCell ref="W102:X102"/>
    <mergeCell ref="A101:K101"/>
    <mergeCell ref="L101:M101"/>
    <mergeCell ref="N101:O101"/>
    <mergeCell ref="P101:R101"/>
    <mergeCell ref="S101:V101"/>
    <mergeCell ref="W101:X101"/>
    <mergeCell ref="A100:K100"/>
    <mergeCell ref="L100:M100"/>
    <mergeCell ref="N100:O100"/>
    <mergeCell ref="P100:R100"/>
    <mergeCell ref="S100:V100"/>
    <mergeCell ref="W100:X100"/>
    <mergeCell ref="A99:K99"/>
    <mergeCell ref="L99:M99"/>
    <mergeCell ref="N99:O99"/>
    <mergeCell ref="P99:R99"/>
    <mergeCell ref="S99:V99"/>
    <mergeCell ref="W99:X99"/>
    <mergeCell ref="A98:K98"/>
    <mergeCell ref="L98:M98"/>
    <mergeCell ref="N98:O98"/>
    <mergeCell ref="P98:R98"/>
    <mergeCell ref="S98:V98"/>
    <mergeCell ref="W98:X98"/>
    <mergeCell ref="A97:K97"/>
    <mergeCell ref="L97:M97"/>
    <mergeCell ref="N97:O97"/>
    <mergeCell ref="P97:R97"/>
    <mergeCell ref="S97:V97"/>
    <mergeCell ref="W97:X97"/>
    <mergeCell ref="A96:K96"/>
    <mergeCell ref="L96:M96"/>
    <mergeCell ref="N96:O96"/>
    <mergeCell ref="P96:R96"/>
    <mergeCell ref="S96:V96"/>
    <mergeCell ref="W96:X96"/>
    <mergeCell ref="A95:K95"/>
    <mergeCell ref="L95:M95"/>
    <mergeCell ref="N95:O95"/>
    <mergeCell ref="P95:R95"/>
    <mergeCell ref="S95:V95"/>
    <mergeCell ref="W95:X95"/>
    <mergeCell ref="A94:K94"/>
    <mergeCell ref="L94:M94"/>
    <mergeCell ref="N94:O94"/>
    <mergeCell ref="P94:R94"/>
    <mergeCell ref="S94:V94"/>
    <mergeCell ref="W94:X94"/>
    <mergeCell ref="A93:K93"/>
    <mergeCell ref="L93:M93"/>
    <mergeCell ref="N93:O93"/>
    <mergeCell ref="P93:R93"/>
    <mergeCell ref="S93:V93"/>
    <mergeCell ref="W93:X93"/>
    <mergeCell ref="A92:K92"/>
    <mergeCell ref="L92:M92"/>
    <mergeCell ref="N92:O92"/>
    <mergeCell ref="P92:R92"/>
    <mergeCell ref="S92:V92"/>
    <mergeCell ref="W92:X92"/>
    <mergeCell ref="A91:K91"/>
    <mergeCell ref="L91:M91"/>
    <mergeCell ref="N91:O91"/>
    <mergeCell ref="P91:R91"/>
    <mergeCell ref="S91:V91"/>
    <mergeCell ref="W91:X91"/>
    <mergeCell ref="A90:K90"/>
    <mergeCell ref="L90:M90"/>
    <mergeCell ref="N90:O90"/>
    <mergeCell ref="P90:R90"/>
    <mergeCell ref="S90:V90"/>
    <mergeCell ref="W90:X90"/>
    <mergeCell ref="A89:K89"/>
    <mergeCell ref="L89:M89"/>
    <mergeCell ref="N89:O89"/>
    <mergeCell ref="P89:R89"/>
    <mergeCell ref="S89:V89"/>
    <mergeCell ref="W89:X89"/>
    <mergeCell ref="A88:K88"/>
    <mergeCell ref="L88:M88"/>
    <mergeCell ref="N88:O88"/>
    <mergeCell ref="P88:R88"/>
    <mergeCell ref="S88:V88"/>
    <mergeCell ref="W88:X88"/>
    <mergeCell ref="A87:K87"/>
    <mergeCell ref="L87:M87"/>
    <mergeCell ref="N87:O87"/>
    <mergeCell ref="P87:R87"/>
    <mergeCell ref="S87:V87"/>
    <mergeCell ref="W87:X87"/>
    <mergeCell ref="A86:K86"/>
    <mergeCell ref="L86:M86"/>
    <mergeCell ref="N86:O86"/>
    <mergeCell ref="P86:R86"/>
    <mergeCell ref="S86:V86"/>
    <mergeCell ref="W86:X86"/>
    <mergeCell ref="A85:K85"/>
    <mergeCell ref="L85:M85"/>
    <mergeCell ref="N85:O85"/>
    <mergeCell ref="P85:R85"/>
    <mergeCell ref="S85:V85"/>
    <mergeCell ref="W85:X85"/>
    <mergeCell ref="A84:K84"/>
    <mergeCell ref="L84:M84"/>
    <mergeCell ref="N84:O84"/>
    <mergeCell ref="P84:R84"/>
    <mergeCell ref="S84:V84"/>
    <mergeCell ref="W84:X84"/>
    <mergeCell ref="A83:K83"/>
    <mergeCell ref="L83:M83"/>
    <mergeCell ref="N83:O83"/>
    <mergeCell ref="P83:R83"/>
    <mergeCell ref="S83:V83"/>
    <mergeCell ref="W83:X83"/>
    <mergeCell ref="A82:K82"/>
    <mergeCell ref="L82:M82"/>
    <mergeCell ref="N82:O82"/>
    <mergeCell ref="P82:R82"/>
    <mergeCell ref="S82:V82"/>
    <mergeCell ref="W82:X82"/>
    <mergeCell ref="A81:K81"/>
    <mergeCell ref="L81:M81"/>
    <mergeCell ref="N81:O81"/>
    <mergeCell ref="P81:R81"/>
    <mergeCell ref="S81:V81"/>
    <mergeCell ref="W81:X81"/>
    <mergeCell ref="A80:K80"/>
    <mergeCell ref="L80:M80"/>
    <mergeCell ref="N80:O80"/>
    <mergeCell ref="P80:R80"/>
    <mergeCell ref="S80:V80"/>
    <mergeCell ref="W80:X80"/>
    <mergeCell ref="A79:K79"/>
    <mergeCell ref="L79:M79"/>
    <mergeCell ref="N79:O79"/>
    <mergeCell ref="P79:R79"/>
    <mergeCell ref="S79:V79"/>
    <mergeCell ref="W79:X79"/>
    <mergeCell ref="A78:K78"/>
    <mergeCell ref="L78:M78"/>
    <mergeCell ref="N78:O78"/>
    <mergeCell ref="P78:R78"/>
    <mergeCell ref="S78:V78"/>
    <mergeCell ref="W78:X78"/>
    <mergeCell ref="A77:K77"/>
    <mergeCell ref="L77:M77"/>
    <mergeCell ref="N77:O77"/>
    <mergeCell ref="P77:R77"/>
    <mergeCell ref="S77:V77"/>
    <mergeCell ref="W77:X77"/>
    <mergeCell ref="A76:K76"/>
    <mergeCell ref="L76:M76"/>
    <mergeCell ref="N76:O76"/>
    <mergeCell ref="P76:R76"/>
    <mergeCell ref="S76:V76"/>
    <mergeCell ref="W76:X76"/>
    <mergeCell ref="A75:K75"/>
    <mergeCell ref="L75:M75"/>
    <mergeCell ref="N75:O75"/>
    <mergeCell ref="P75:R75"/>
    <mergeCell ref="S75:V75"/>
    <mergeCell ref="W75:X75"/>
    <mergeCell ref="A74:K74"/>
    <mergeCell ref="L74:M74"/>
    <mergeCell ref="N74:O74"/>
    <mergeCell ref="P74:R74"/>
    <mergeCell ref="S74:V74"/>
    <mergeCell ref="W74:X74"/>
    <mergeCell ref="A73:K73"/>
    <mergeCell ref="L73:M73"/>
    <mergeCell ref="N73:O73"/>
    <mergeCell ref="P73:R73"/>
    <mergeCell ref="S73:V73"/>
    <mergeCell ref="W73:X73"/>
    <mergeCell ref="A72:K72"/>
    <mergeCell ref="L72:M72"/>
    <mergeCell ref="N72:O72"/>
    <mergeCell ref="P72:R72"/>
    <mergeCell ref="S72:V72"/>
    <mergeCell ref="W72:X72"/>
    <mergeCell ref="A71:K71"/>
    <mergeCell ref="L71:M71"/>
    <mergeCell ref="N71:O71"/>
    <mergeCell ref="P71:R71"/>
    <mergeCell ref="S71:V71"/>
    <mergeCell ref="W71:X71"/>
    <mergeCell ref="A70:K70"/>
    <mergeCell ref="L70:M70"/>
    <mergeCell ref="N70:O70"/>
    <mergeCell ref="P70:R70"/>
    <mergeCell ref="S70:V70"/>
    <mergeCell ref="W70:X70"/>
    <mergeCell ref="A69:K69"/>
    <mergeCell ref="L69:M69"/>
    <mergeCell ref="N69:O69"/>
    <mergeCell ref="P69:R69"/>
    <mergeCell ref="S69:V69"/>
    <mergeCell ref="W69:X69"/>
    <mergeCell ref="A68:K68"/>
    <mergeCell ref="L68:M68"/>
    <mergeCell ref="N68:O68"/>
    <mergeCell ref="P68:R68"/>
    <mergeCell ref="S68:V68"/>
    <mergeCell ref="W68:X68"/>
    <mergeCell ref="A67:K67"/>
    <mergeCell ref="L67:M67"/>
    <mergeCell ref="N67:O67"/>
    <mergeCell ref="P67:R67"/>
    <mergeCell ref="S67:V67"/>
    <mergeCell ref="W67:X67"/>
    <mergeCell ref="A66:K66"/>
    <mergeCell ref="L66:M66"/>
    <mergeCell ref="N66:O66"/>
    <mergeCell ref="P66:R66"/>
    <mergeCell ref="S66:V66"/>
    <mergeCell ref="W66:X66"/>
    <mergeCell ref="A65:K65"/>
    <mergeCell ref="L65:M65"/>
    <mergeCell ref="N65:O65"/>
    <mergeCell ref="P65:R65"/>
    <mergeCell ref="S65:V65"/>
    <mergeCell ref="W65:X65"/>
    <mergeCell ref="A64:K64"/>
    <mergeCell ref="L64:M64"/>
    <mergeCell ref="N64:O64"/>
    <mergeCell ref="P64:R64"/>
    <mergeCell ref="S64:V64"/>
    <mergeCell ref="W64:X64"/>
    <mergeCell ref="A63:K63"/>
    <mergeCell ref="L63:M63"/>
    <mergeCell ref="N63:O63"/>
    <mergeCell ref="P63:R63"/>
    <mergeCell ref="S63:V63"/>
    <mergeCell ref="W63:X63"/>
    <mergeCell ref="A62:K62"/>
    <mergeCell ref="L62:M62"/>
    <mergeCell ref="N62:O62"/>
    <mergeCell ref="P62:R62"/>
    <mergeCell ref="S62:V62"/>
    <mergeCell ref="W62:X62"/>
    <mergeCell ref="A61:K61"/>
    <mergeCell ref="L61:M61"/>
    <mergeCell ref="N61:O61"/>
    <mergeCell ref="P61:R61"/>
    <mergeCell ref="S61:V61"/>
    <mergeCell ref="W61:X61"/>
    <mergeCell ref="A60:K60"/>
    <mergeCell ref="L60:M60"/>
    <mergeCell ref="N60:O60"/>
    <mergeCell ref="P60:R60"/>
    <mergeCell ref="S60:V60"/>
    <mergeCell ref="W60:X60"/>
    <mergeCell ref="A59:K59"/>
    <mergeCell ref="L59:M59"/>
    <mergeCell ref="N59:O59"/>
    <mergeCell ref="P59:R59"/>
    <mergeCell ref="S59:V59"/>
    <mergeCell ref="W59:X59"/>
    <mergeCell ref="A58:K58"/>
    <mergeCell ref="L58:M58"/>
    <mergeCell ref="N58:O58"/>
    <mergeCell ref="P58:R58"/>
    <mergeCell ref="S58:V58"/>
    <mergeCell ref="W58:X58"/>
    <mergeCell ref="A57:K57"/>
    <mergeCell ref="L57:M57"/>
    <mergeCell ref="N57:O57"/>
    <mergeCell ref="P57:R57"/>
    <mergeCell ref="S57:V57"/>
    <mergeCell ref="W57:X57"/>
    <mergeCell ref="A56:K56"/>
    <mergeCell ref="L56:M56"/>
    <mergeCell ref="N56:O56"/>
    <mergeCell ref="P56:R56"/>
    <mergeCell ref="S56:V56"/>
    <mergeCell ref="W56:X56"/>
    <mergeCell ref="A55:K55"/>
    <mergeCell ref="L55:M55"/>
    <mergeCell ref="N55:O55"/>
    <mergeCell ref="P55:R55"/>
    <mergeCell ref="S55:V55"/>
    <mergeCell ref="W55:X55"/>
    <mergeCell ref="A54:K54"/>
    <mergeCell ref="L54:M54"/>
    <mergeCell ref="N54:O54"/>
    <mergeCell ref="P54:R54"/>
    <mergeCell ref="S54:V54"/>
    <mergeCell ref="W54:X54"/>
    <mergeCell ref="A53:K53"/>
    <mergeCell ref="L53:M53"/>
    <mergeCell ref="N53:O53"/>
    <mergeCell ref="P53:R53"/>
    <mergeCell ref="S53:V53"/>
    <mergeCell ref="W53:X53"/>
    <mergeCell ref="A52:K52"/>
    <mergeCell ref="L52:M52"/>
    <mergeCell ref="N52:O52"/>
    <mergeCell ref="P52:R52"/>
    <mergeCell ref="S52:V52"/>
    <mergeCell ref="W52:X52"/>
    <mergeCell ref="A51:K51"/>
    <mergeCell ref="L51:M51"/>
    <mergeCell ref="N51:O51"/>
    <mergeCell ref="P51:R51"/>
    <mergeCell ref="S51:V51"/>
    <mergeCell ref="W51:X51"/>
    <mergeCell ref="A50:K50"/>
    <mergeCell ref="L50:M50"/>
    <mergeCell ref="N50:O50"/>
    <mergeCell ref="P50:R50"/>
    <mergeCell ref="S50:V50"/>
    <mergeCell ref="W50:X50"/>
    <mergeCell ref="A49:K49"/>
    <mergeCell ref="L49:M49"/>
    <mergeCell ref="N49:O49"/>
    <mergeCell ref="P49:R49"/>
    <mergeCell ref="S49:V49"/>
    <mergeCell ref="W49:X49"/>
    <mergeCell ref="A48:K48"/>
    <mergeCell ref="L48:M48"/>
    <mergeCell ref="N48:O48"/>
    <mergeCell ref="P48:R48"/>
    <mergeCell ref="S48:V48"/>
    <mergeCell ref="W48:X48"/>
    <mergeCell ref="A47:K47"/>
    <mergeCell ref="L47:M47"/>
    <mergeCell ref="N47:O47"/>
    <mergeCell ref="P47:R47"/>
    <mergeCell ref="S47:V47"/>
    <mergeCell ref="W47:X47"/>
    <mergeCell ref="A44:X44"/>
    <mergeCell ref="A45:X45"/>
    <mergeCell ref="A46:K46"/>
    <mergeCell ref="L46:M46"/>
    <mergeCell ref="N46:O46"/>
    <mergeCell ref="P46:R46"/>
    <mergeCell ref="S46:V46"/>
    <mergeCell ref="W46:X46"/>
    <mergeCell ref="A43:K43"/>
    <mergeCell ref="L43:M43"/>
    <mergeCell ref="N43:O43"/>
    <mergeCell ref="P43:R43"/>
    <mergeCell ref="S43:V43"/>
    <mergeCell ref="W43:X43"/>
    <mergeCell ref="A42:K42"/>
    <mergeCell ref="L42:M42"/>
    <mergeCell ref="N42:O42"/>
    <mergeCell ref="P42:R42"/>
    <mergeCell ref="S42:V42"/>
    <mergeCell ref="W42:X42"/>
    <mergeCell ref="A41:K41"/>
    <mergeCell ref="L41:M41"/>
    <mergeCell ref="N41:O41"/>
    <mergeCell ref="P41:R41"/>
    <mergeCell ref="S41:V41"/>
    <mergeCell ref="W41:X41"/>
    <mergeCell ref="A40:K40"/>
    <mergeCell ref="L40:M40"/>
    <mergeCell ref="N40:O40"/>
    <mergeCell ref="P40:R40"/>
    <mergeCell ref="S40:V40"/>
    <mergeCell ref="W40:X40"/>
    <mergeCell ref="A39:K39"/>
    <mergeCell ref="L39:M39"/>
    <mergeCell ref="N39:O39"/>
    <mergeCell ref="P39:R39"/>
    <mergeCell ref="S39:V39"/>
    <mergeCell ref="W39:X39"/>
    <mergeCell ref="A38:K38"/>
    <mergeCell ref="L38:M38"/>
    <mergeCell ref="N38:O38"/>
    <mergeCell ref="P38:R38"/>
    <mergeCell ref="S38:V38"/>
    <mergeCell ref="W38:X38"/>
    <mergeCell ref="A37:K37"/>
    <mergeCell ref="L37:M37"/>
    <mergeCell ref="N37:O37"/>
    <mergeCell ref="P37:R37"/>
    <mergeCell ref="S37:V37"/>
    <mergeCell ref="W37:X37"/>
    <mergeCell ref="A36:K36"/>
    <mergeCell ref="L36:M36"/>
    <mergeCell ref="N36:O36"/>
    <mergeCell ref="P36:R36"/>
    <mergeCell ref="S36:V36"/>
    <mergeCell ref="W36:X36"/>
    <mergeCell ref="A35:K35"/>
    <mergeCell ref="L35:M35"/>
    <mergeCell ref="N35:O35"/>
    <mergeCell ref="P35:R35"/>
    <mergeCell ref="S35:V35"/>
    <mergeCell ref="W35:X35"/>
    <mergeCell ref="A34:K34"/>
    <mergeCell ref="L34:M34"/>
    <mergeCell ref="N34:O34"/>
    <mergeCell ref="P34:R34"/>
    <mergeCell ref="S34:V34"/>
    <mergeCell ref="W34:X34"/>
    <mergeCell ref="A33:K33"/>
    <mergeCell ref="L33:M33"/>
    <mergeCell ref="N33:O33"/>
    <mergeCell ref="P33:R33"/>
    <mergeCell ref="S33:V33"/>
    <mergeCell ref="W33:X33"/>
    <mergeCell ref="A32:K32"/>
    <mergeCell ref="L32:M32"/>
    <mergeCell ref="N32:O32"/>
    <mergeCell ref="P32:R32"/>
    <mergeCell ref="S32:V32"/>
    <mergeCell ref="W32:X32"/>
    <mergeCell ref="A31:K31"/>
    <mergeCell ref="L31:M31"/>
    <mergeCell ref="N31:O31"/>
    <mergeCell ref="P31:R31"/>
    <mergeCell ref="S31:V31"/>
    <mergeCell ref="W31:X31"/>
    <mergeCell ref="A30:K30"/>
    <mergeCell ref="L30:M30"/>
    <mergeCell ref="N30:O30"/>
    <mergeCell ref="P30:R30"/>
    <mergeCell ref="S30:V30"/>
    <mergeCell ref="W30:X30"/>
    <mergeCell ref="A29:K29"/>
    <mergeCell ref="L29:M29"/>
    <mergeCell ref="N29:O29"/>
    <mergeCell ref="P29:R29"/>
    <mergeCell ref="S29:V29"/>
    <mergeCell ref="W29:X29"/>
    <mergeCell ref="A28:K28"/>
    <mergeCell ref="L28:M28"/>
    <mergeCell ref="N28:O28"/>
    <mergeCell ref="P28:R28"/>
    <mergeCell ref="S28:V28"/>
    <mergeCell ref="W28:X28"/>
    <mergeCell ref="A27:K27"/>
    <mergeCell ref="L27:M27"/>
    <mergeCell ref="N27:O27"/>
    <mergeCell ref="P27:R27"/>
    <mergeCell ref="S27:V27"/>
    <mergeCell ref="W27:X27"/>
    <mergeCell ref="A26:K26"/>
    <mergeCell ref="L26:M26"/>
    <mergeCell ref="N26:O26"/>
    <mergeCell ref="P26:R26"/>
    <mergeCell ref="S26:V26"/>
    <mergeCell ref="W26:X26"/>
    <mergeCell ref="A25:K25"/>
    <mergeCell ref="L25:M25"/>
    <mergeCell ref="N25:O25"/>
    <mergeCell ref="P25:R25"/>
    <mergeCell ref="S25:V25"/>
    <mergeCell ref="W25:X25"/>
    <mergeCell ref="A24:K24"/>
    <mergeCell ref="L24:M24"/>
    <mergeCell ref="N24:O24"/>
    <mergeCell ref="P24:R24"/>
    <mergeCell ref="S24:V24"/>
    <mergeCell ref="W24:X24"/>
    <mergeCell ref="A23:K23"/>
    <mergeCell ref="L23:M23"/>
    <mergeCell ref="N23:O23"/>
    <mergeCell ref="P23:R23"/>
    <mergeCell ref="S23:V23"/>
    <mergeCell ref="W23:X23"/>
    <mergeCell ref="A22:K22"/>
    <mergeCell ref="L22:M22"/>
    <mergeCell ref="N22:O22"/>
    <mergeCell ref="P22:R22"/>
    <mergeCell ref="S22:V22"/>
    <mergeCell ref="W22:X22"/>
    <mergeCell ref="A21:K21"/>
    <mergeCell ref="L21:M21"/>
    <mergeCell ref="N21:O21"/>
    <mergeCell ref="P21:R21"/>
    <mergeCell ref="S21:V21"/>
    <mergeCell ref="W21:X21"/>
    <mergeCell ref="A20:K20"/>
    <mergeCell ref="L20:M20"/>
    <mergeCell ref="N20:O20"/>
    <mergeCell ref="P20:R20"/>
    <mergeCell ref="S20:V20"/>
    <mergeCell ref="W20:X20"/>
    <mergeCell ref="A19:K19"/>
    <mergeCell ref="L19:M19"/>
    <mergeCell ref="N19:O19"/>
    <mergeCell ref="P19:R19"/>
    <mergeCell ref="S19:V19"/>
    <mergeCell ref="W19:X19"/>
    <mergeCell ref="A18:K18"/>
    <mergeCell ref="L18:M18"/>
    <mergeCell ref="N18:O18"/>
    <mergeCell ref="P18:R18"/>
    <mergeCell ref="S18:V18"/>
    <mergeCell ref="W18:X18"/>
    <mergeCell ref="A17:K17"/>
    <mergeCell ref="L17:M17"/>
    <mergeCell ref="N17:O17"/>
    <mergeCell ref="P17:R17"/>
    <mergeCell ref="S17:V17"/>
    <mergeCell ref="W17:X17"/>
    <mergeCell ref="A16:K16"/>
    <mergeCell ref="L16:M16"/>
    <mergeCell ref="N16:O16"/>
    <mergeCell ref="P16:R16"/>
    <mergeCell ref="S16:V16"/>
    <mergeCell ref="W16:X16"/>
    <mergeCell ref="A15:K15"/>
    <mergeCell ref="L15:M15"/>
    <mergeCell ref="N15:O15"/>
    <mergeCell ref="P15:R15"/>
    <mergeCell ref="S15:V15"/>
    <mergeCell ref="W15:X15"/>
    <mergeCell ref="A14:K14"/>
    <mergeCell ref="L14:M14"/>
    <mergeCell ref="N14:O14"/>
    <mergeCell ref="P14:R14"/>
    <mergeCell ref="S14:V14"/>
    <mergeCell ref="W14:X14"/>
    <mergeCell ref="A13:K13"/>
    <mergeCell ref="L13:M13"/>
    <mergeCell ref="N13:O13"/>
    <mergeCell ref="P13:R13"/>
    <mergeCell ref="S13:V13"/>
    <mergeCell ref="W13:X13"/>
    <mergeCell ref="A12:K12"/>
    <mergeCell ref="L12:M12"/>
    <mergeCell ref="N12:O12"/>
    <mergeCell ref="P12:R12"/>
    <mergeCell ref="S12:V12"/>
    <mergeCell ref="W12:X12"/>
    <mergeCell ref="A11:K11"/>
    <mergeCell ref="L11:M11"/>
    <mergeCell ref="N11:O11"/>
    <mergeCell ref="P11:R11"/>
    <mergeCell ref="S11:V11"/>
    <mergeCell ref="W11:X11"/>
    <mergeCell ref="A9:X9"/>
    <mergeCell ref="A10:K10"/>
    <mergeCell ref="L10:M10"/>
    <mergeCell ref="N10:O10"/>
    <mergeCell ref="P10:R10"/>
    <mergeCell ref="S10:V10"/>
    <mergeCell ref="W10:X10"/>
    <mergeCell ref="A6:F6"/>
    <mergeCell ref="G6:T6"/>
    <mergeCell ref="U6:W6"/>
    <mergeCell ref="B7:W7"/>
    <mergeCell ref="A8:D8"/>
    <mergeCell ref="E8:S8"/>
    <mergeCell ref="T8:W8"/>
    <mergeCell ref="A1:W1"/>
    <mergeCell ref="A2:W2"/>
    <mergeCell ref="A3:U3"/>
    <mergeCell ref="V3:W3"/>
    <mergeCell ref="A4:E5"/>
    <mergeCell ref="F4:T5"/>
    <mergeCell ref="U4:W4"/>
    <mergeCell ref="U5:W5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&amp;С из &amp;К</oddFooter>
  </headerFooter>
  <rowBreaks count="2" manualBreakCount="2">
    <brk id="44" max="255" man="1"/>
    <brk id="119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Finance</dc:creator>
  <cp:keywords/>
  <dc:description/>
  <cp:lastModifiedBy>Finance</cp:lastModifiedBy>
  <dcterms:created xsi:type="dcterms:W3CDTF">2023-03-28T08:00:48Z</dcterms:created>
  <dcterms:modified xsi:type="dcterms:W3CDTF">2023-03-28T08:00:48Z</dcterms:modified>
  <cp:category/>
  <cp:version/>
  <cp:contentType/>
  <cp:contentStatus/>
</cp:coreProperties>
</file>