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<sst xmlns="http://schemas.openxmlformats.org/spreadsheetml/2006/main" count="482" uniqueCount="216">
  <si>
    <t>ОТЧЕТ ОБ ИСПОЛНЕНИИ БЮДЖЕТА</t>
  </si>
  <si>
    <t>КОДЫ</t>
  </si>
  <si>
    <t xml:space="preserve">Форма по ОКУД </t>
  </si>
  <si>
    <t>0503117</t>
  </si>
  <si>
    <t>на 1 мая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</si>
  <si>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</si>
  <si>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</si>
  <si>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</si>
  <si>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</si>
  <si>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</si>
  <si>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</si>
  <si>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</si>
  <si>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</si>
  <si>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</si>
  <si>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</si>
  <si>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</si>
  <si>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</si>
  <si>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</si>
  <si>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</si>
  <si>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</si>
  <si>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</si>
  <si>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</si>
  <si>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</si>
  <si>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</si>
  <si>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</si>
  <si>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</si>
  <si>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</si>
  <si>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</si>
  <si>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</si>
  <si>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</si>
  <si>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</si>
  <si>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</si>
  <si>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</si>
  <si>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</si>
  <si>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</si>
  <si>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</si>
  <si>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</si>
  <si>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</si>
  <si>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</si>
  <si>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</si>
  <si>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</si>
  <si>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</si>
  <si>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</si>
  <si>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</si>
  <si>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</si>
  <si>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</si>
  <si>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</si>
  <si>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</si>
  <si>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</si>
  <si>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</si>
  <si>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</si>
  <si>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</si>
  <si>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</si>
  <si>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</si>
  <si>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</si>
  <si>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</si>
  <si>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</si>
  <si>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</si>
  <si>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</si>
  <si>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</si>
  <si>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</si>
  <si>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</si>
  <si>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</si>
  <si>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</si>
  <si>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</si>
  <si>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</si>
  <si>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</si>
  <si>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</si>
  <si>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</si>
  <si>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</si>
  <si>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</si>
  <si>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</si>
  <si>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</si>
  <si>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</si>
  <si>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</si>
  <si>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</si>
  <si>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</si>
  <si>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</si>
  <si>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</si>
  <si>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</si>
  <si>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</si>
  <si>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</si>
  <si>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</si>
  <si>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</si>
  <si>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</si>
  <si>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</si>
  <si>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</si>
  <si>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</si>
  <si>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</si>
  <si>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</si>
  <si>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</si>
  <si>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</si>
  <si>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</si>
  <si>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</si>
  <si>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</si>
  <si>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</si>
  <si>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</si>
  <si>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</si>
  <si>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</si>
  <si>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</si>
  <si>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</si>
  <si>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</si>
  <si>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</si>
  <si>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</si>
  <si>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</si>
  <si>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</si>
  <si>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</si>
  <si>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</si>
  <si>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</si>
  <si>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</si>
  <si>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</si>
  <si>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</si>
  <si>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</si>
  <si>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</si>
  <si>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</si>
  <si>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</si>
  <si>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</si>
  <si>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</si>
  <si>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</si>
  <si>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</si>
  <si>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</si>
  <si>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</si>
  <si>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</si>
  <si>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</si>
  <si>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</si>
  <si>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</si>
  <si>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</si>
  <si>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</si>
  <si>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</si>
  <si>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</si>
  <si>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</si>
  <si>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</si>
  <si>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</si>
  <si>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</si>
  <si>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</si>
  <si>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</si>
  <si>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</si>
  <si>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</si>
  <si>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</si>
  <si>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</si>
  <si>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</si>
  <si>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</si>
  <si>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</si>
  <si>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992 0409 2020100000 244</t>
  </si>
  <si>
    <t>992 0409 2020400000 244</t>
  </si>
  <si>
    <t>992 0409 2020500000 244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</si>
  <si>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</si>
  <si>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</si>
  <si>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</si>
  <si>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</si>
  <si>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</si>
  <si>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</si>
  <si>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</si>
  <si>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</si>
  <si>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</si>
  <si>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</si>
  <si>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</si>
  <si>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</si>
  <si>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</si>
  <si>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</si>
  <si>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</si>
  <si>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</si>
  <si>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</si>
  <si>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</si>
  <si>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</si>
  <si>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</si>
  <si>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</si>
  <si>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</si>
  <si>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</si>
  <si>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</si>
  <si>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</si>
  <si>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</si>
  <si>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</si>
  <si>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</si>
  <si>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</si>
  <si>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</si>
  <si>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</si>
  <si>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</si>
  <si>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</si>
  <si>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</si>
  <si>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</si>
  <si>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</si>
  <si>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</si>
  <si>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</si>
  <si>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</si>
  <si>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</si>
  <si>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</si>
  <si>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</si>
  <si>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</si>
  <si>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</si>
  <si>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</si>
  <si>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Средства от продажи акций и иных форм участия в капитале, находящихся в собственности сельских поселений</t>
  </si>
  <si>
    <t>992 01060100 10 0000 630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</si>
  <si>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</si>
  <si>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</si>
  <si>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</si>
  <si>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</si>
  <si>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</si>
  <si>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</si>
  <si>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</si>
  <si>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</si>
  <si>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</si>
  <si>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</si>
  <si>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</si>
  <si>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</si>
  <si>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</si>
  <si>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</si>
  <si>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</si>
  <si>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</si>
  <si>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</si>
  <si>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</si>
  <si>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</si>
  <si>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</si>
  <si>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</si>
  <si>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3 мая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</si>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</sst>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45047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94422600</f>
        <v>94422600</v>
      </c>
      <c r="Q12" s="21"/>
      <c r="R12" s="21"/>
      <c r="S12" s="21">
        <f>25006472.55</f>
        <v>25006472.55</v>
      </c>
      <c r="T12" s="21"/>
      <c r="U12" s="21"/>
      <c r="V12" s="21"/>
      <c r="W12" s="22">
        <f>69416127.45</f>
        <v>69416127.45</v>
      </c>
      <c r="X12" s="22"/>
    </row>
    <row r="13" spans="1:24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26200000</f>
        <v>26200000</v>
      </c>
      <c r="Q13" s="25"/>
      <c r="R13" s="25"/>
      <c r="S13" s="25">
        <f>7212182.22</f>
        <v>7212182.22</v>
      </c>
      <c r="T13" s="25"/>
      <c r="U13" s="25"/>
      <c r="V13" s="25"/>
      <c r="W13" s="26">
        <f>18987817.78</f>
        <v>18987817.78</v>
      </c>
      <c r="X13" s="26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880000</f>
        <v>880000</v>
      </c>
      <c r="Q14" s="25"/>
      <c r="R14" s="25"/>
      <c r="S14" s="25">
        <f>-273195.62</f>
        <v>-273195.62</v>
      </c>
      <c r="T14" s="25"/>
      <c r="U14" s="25"/>
      <c r="V14" s="25"/>
      <c r="W14" s="26">
        <f>1153195.62</f>
        <v>1153195.62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770000</f>
        <v>770000</v>
      </c>
      <c r="Q15" s="25"/>
      <c r="R15" s="25"/>
      <c r="S15" s="25">
        <f>115564.9</f>
        <v>115564.9</v>
      </c>
      <c r="T15" s="25"/>
      <c r="U15" s="25"/>
      <c r="V15" s="25"/>
      <c r="W15" s="26">
        <f>654435.1</f>
        <v>654435.1</v>
      </c>
      <c r="X15" s="26"/>
    </row>
    <row r="16" spans="1:24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172000</f>
        <v>172000</v>
      </c>
      <c r="Q16" s="25"/>
      <c r="R16" s="25"/>
      <c r="S16" s="25">
        <f>63315</f>
        <v>63315</v>
      </c>
      <c r="T16" s="25"/>
      <c r="U16" s="25"/>
      <c r="V16" s="25"/>
      <c r="W16" s="26">
        <f>108685</f>
        <v>108685</v>
      </c>
      <c r="X16" s="26"/>
    </row>
    <row r="17" spans="1:24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316110.64</f>
        <v>316110.64</v>
      </c>
      <c r="T17" s="25"/>
      <c r="U17" s="25"/>
      <c r="V17" s="25"/>
      <c r="W17" s="28" t="s">
        <v>48</v>
      </c>
      <c r="X17" s="28"/>
    </row>
    <row r="18" spans="1:24" s="1" customFormat="1" ht="33.7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48</v>
      </c>
      <c r="Q18" s="27"/>
      <c r="R18" s="27"/>
      <c r="S18" s="25">
        <f>0</f>
        <v>0</v>
      </c>
      <c r="T18" s="25"/>
      <c r="U18" s="25"/>
      <c r="V18" s="25"/>
      <c r="W18" s="28" t="s">
        <v>48</v>
      </c>
      <c r="X18" s="28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2860000</f>
        <v>2860000</v>
      </c>
      <c r="Q19" s="25"/>
      <c r="R19" s="25"/>
      <c r="S19" s="25">
        <f>1132031.77</f>
        <v>1132031.77</v>
      </c>
      <c r="T19" s="25"/>
      <c r="U19" s="25"/>
      <c r="V19" s="25"/>
      <c r="W19" s="26">
        <f>1727968.23</f>
        <v>1727968.23</v>
      </c>
      <c r="X19" s="26"/>
    </row>
    <row r="20" spans="1:24" s="1" customFormat="1" ht="75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30000</f>
        <v>30000</v>
      </c>
      <c r="Q20" s="25"/>
      <c r="R20" s="25"/>
      <c r="S20" s="25">
        <f>5197.72</f>
        <v>5197.72</v>
      </c>
      <c r="T20" s="25"/>
      <c r="U20" s="25"/>
      <c r="V20" s="25"/>
      <c r="W20" s="26">
        <f>24802.28</f>
        <v>24802.28</v>
      </c>
      <c r="X20" s="26"/>
    </row>
    <row r="21" spans="1:24" s="1" customFormat="1" ht="66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3219300</f>
        <v>3219300</v>
      </c>
      <c r="Q21" s="25"/>
      <c r="R21" s="25"/>
      <c r="S21" s="25">
        <f>1205463.29</f>
        <v>1205463.29</v>
      </c>
      <c r="T21" s="25"/>
      <c r="U21" s="25"/>
      <c r="V21" s="25"/>
      <c r="W21" s="26">
        <f>2013836.71</f>
        <v>2013836.71</v>
      </c>
      <c r="X21" s="26"/>
    </row>
    <row r="22" spans="1:24" s="1" customFormat="1" ht="66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48</v>
      </c>
      <c r="Q22" s="27"/>
      <c r="R22" s="27"/>
      <c r="S22" s="25">
        <f>-140211.1</f>
        <v>-140211.1</v>
      </c>
      <c r="T22" s="25"/>
      <c r="U22" s="25"/>
      <c r="V22" s="25"/>
      <c r="W22" s="28" t="s">
        <v>48</v>
      </c>
      <c r="X22" s="28"/>
    </row>
    <row r="23" spans="1:24" s="1" customFormat="1" ht="13.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1733000</f>
        <v>1733000</v>
      </c>
      <c r="Q23" s="25"/>
      <c r="R23" s="25"/>
      <c r="S23" s="25">
        <f>1255259.44</f>
        <v>1255259.44</v>
      </c>
      <c r="T23" s="25"/>
      <c r="U23" s="25"/>
      <c r="V23" s="25"/>
      <c r="W23" s="26">
        <f>477740.56</f>
        <v>477740.56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7" t="s">
        <v>48</v>
      </c>
      <c r="Q24" s="27"/>
      <c r="R24" s="27"/>
      <c r="S24" s="25">
        <f>0</f>
        <v>0</v>
      </c>
      <c r="T24" s="25"/>
      <c r="U24" s="25"/>
      <c r="V24" s="25"/>
      <c r="W24" s="28" t="s">
        <v>48</v>
      </c>
      <c r="X24" s="28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7250000</f>
        <v>7250000</v>
      </c>
      <c r="Q25" s="25"/>
      <c r="R25" s="25"/>
      <c r="S25" s="25">
        <f>156648.14</f>
        <v>156648.14</v>
      </c>
      <c r="T25" s="25"/>
      <c r="U25" s="25"/>
      <c r="V25" s="25"/>
      <c r="W25" s="26">
        <f>7093351.86</f>
        <v>7093351.86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2200000</f>
        <v>2200000</v>
      </c>
      <c r="Q26" s="25"/>
      <c r="R26" s="25"/>
      <c r="S26" s="25">
        <f>972726.47</f>
        <v>972726.47</v>
      </c>
      <c r="T26" s="25"/>
      <c r="U26" s="25"/>
      <c r="V26" s="25"/>
      <c r="W26" s="26">
        <f>1227273.53</f>
        <v>1227273.53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7300000</f>
        <v>7300000</v>
      </c>
      <c r="Q27" s="25"/>
      <c r="R27" s="25"/>
      <c r="S27" s="25">
        <f>-178362.83</f>
        <v>-178362.83</v>
      </c>
      <c r="T27" s="25"/>
      <c r="U27" s="25"/>
      <c r="V27" s="25"/>
      <c r="W27" s="26">
        <f>7478362.83</f>
        <v>7478362.83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48</v>
      </c>
      <c r="Q28" s="27"/>
      <c r="R28" s="27"/>
      <c r="S28" s="25">
        <f>402.82</f>
        <v>402.82</v>
      </c>
      <c r="T28" s="25"/>
      <c r="U28" s="25"/>
      <c r="V28" s="25"/>
      <c r="W28" s="28" t="s">
        <v>48</v>
      </c>
      <c r="X28" s="28"/>
    </row>
    <row r="29" spans="1:24" s="1" customFormat="1" ht="4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48</v>
      </c>
      <c r="Q29" s="27"/>
      <c r="R29" s="27"/>
      <c r="S29" s="25">
        <f>3687</f>
        <v>3687</v>
      </c>
      <c r="T29" s="25"/>
      <c r="U29" s="25"/>
      <c r="V29" s="25"/>
      <c r="W29" s="28" t="s">
        <v>48</v>
      </c>
      <c r="X29" s="28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48</v>
      </c>
      <c r="Q30" s="27"/>
      <c r="R30" s="27"/>
      <c r="S30" s="25">
        <f>85475.6</f>
        <v>85475.6</v>
      </c>
      <c r="T30" s="25"/>
      <c r="U30" s="25"/>
      <c r="V30" s="25"/>
      <c r="W30" s="28" t="s">
        <v>48</v>
      </c>
      <c r="X30" s="28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526900</f>
        <v>526900</v>
      </c>
      <c r="Q31" s="25"/>
      <c r="R31" s="25"/>
      <c r="S31" s="25">
        <f>46930.5</f>
        <v>46930.5</v>
      </c>
      <c r="T31" s="25"/>
      <c r="U31" s="25"/>
      <c r="V31" s="25"/>
      <c r="W31" s="26">
        <f>479969.5</f>
        <v>479969.5</v>
      </c>
      <c r="X31" s="26"/>
    </row>
    <row r="32" spans="1:24" s="1" customFormat="1" ht="54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7" t="s">
        <v>48</v>
      </c>
      <c r="Q32" s="27"/>
      <c r="R32" s="27"/>
      <c r="S32" s="25">
        <f>67716</f>
        <v>67716</v>
      </c>
      <c r="T32" s="25"/>
      <c r="U32" s="25"/>
      <c r="V32" s="25"/>
      <c r="W32" s="28" t="s">
        <v>48</v>
      </c>
      <c r="X32" s="28"/>
    </row>
    <row r="33" spans="1:24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48</v>
      </c>
      <c r="Q33" s="27"/>
      <c r="R33" s="27"/>
      <c r="S33" s="25">
        <f>2000</f>
        <v>2000</v>
      </c>
      <c r="T33" s="25"/>
      <c r="U33" s="25"/>
      <c r="V33" s="25"/>
      <c r="W33" s="28" t="s">
        <v>48</v>
      </c>
      <c r="X33" s="28"/>
    </row>
    <row r="34" spans="1:24" s="1" customFormat="1" ht="13.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48</v>
      </c>
      <c r="Q34" s="27"/>
      <c r="R34" s="27"/>
      <c r="S34" s="25">
        <f>26608.25</f>
        <v>26608.25</v>
      </c>
      <c r="T34" s="25"/>
      <c r="U34" s="25"/>
      <c r="V34" s="25"/>
      <c r="W34" s="28" t="s">
        <v>48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7" t="s">
        <v>48</v>
      </c>
      <c r="Q35" s="27"/>
      <c r="R35" s="27"/>
      <c r="S35" s="25">
        <f>140000</f>
        <v>140000</v>
      </c>
      <c r="T35" s="25"/>
      <c r="U35" s="25"/>
      <c r="V35" s="25"/>
      <c r="W35" s="28" t="s">
        <v>48</v>
      </c>
      <c r="X35" s="28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6466600</f>
        <v>6466600</v>
      </c>
      <c r="Q36" s="25"/>
      <c r="R36" s="25"/>
      <c r="S36" s="25">
        <f>3233100</f>
        <v>3233100</v>
      </c>
      <c r="T36" s="25"/>
      <c r="U36" s="25"/>
      <c r="V36" s="25"/>
      <c r="W36" s="26">
        <f>3233500</f>
        <v>3233500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1088400</f>
        <v>1088400</v>
      </c>
      <c r="Q37" s="25"/>
      <c r="R37" s="25"/>
      <c r="S37" s="25">
        <f>272100</f>
        <v>272100</v>
      </c>
      <c r="T37" s="25"/>
      <c r="U37" s="25"/>
      <c r="V37" s="25"/>
      <c r="W37" s="26">
        <f>816300</f>
        <v>816300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33125700</f>
        <v>33125700</v>
      </c>
      <c r="Q38" s="25"/>
      <c r="R38" s="25"/>
      <c r="S38" s="25">
        <f>9143019.34</f>
        <v>9143019.34</v>
      </c>
      <c r="T38" s="25"/>
      <c r="U38" s="25"/>
      <c r="V38" s="25"/>
      <c r="W38" s="26">
        <f>23982680.66</f>
        <v>23982680.66</v>
      </c>
      <c r="X38" s="26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7600</f>
        <v>7600</v>
      </c>
      <c r="Q39" s="25"/>
      <c r="R39" s="25"/>
      <c r="S39" s="25">
        <f>7600</f>
        <v>7600</v>
      </c>
      <c r="T39" s="25"/>
      <c r="U39" s="25"/>
      <c r="V39" s="25"/>
      <c r="W39" s="26">
        <f>0</f>
        <v>0</v>
      </c>
      <c r="X39" s="26"/>
    </row>
    <row r="40" spans="1:24" s="1" customFormat="1" ht="33.75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593100</f>
        <v>593100</v>
      </c>
      <c r="Q40" s="25"/>
      <c r="R40" s="25"/>
      <c r="S40" s="25">
        <f>135103</f>
        <v>135103</v>
      </c>
      <c r="T40" s="25"/>
      <c r="U40" s="25"/>
      <c r="V40" s="25"/>
      <c r="W40" s="26">
        <f>457997</f>
        <v>457997</v>
      </c>
      <c r="X40" s="26"/>
    </row>
    <row r="41" spans="1:24" s="1" customFormat="1" ht="54.75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7" t="s">
        <v>48</v>
      </c>
      <c r="Q41" s="27"/>
      <c r="R41" s="27"/>
      <c r="S41" s="25">
        <f>0</f>
        <v>0</v>
      </c>
      <c r="T41" s="25"/>
      <c r="U41" s="25"/>
      <c r="V41" s="25"/>
      <c r="W41" s="28" t="s">
        <v>48</v>
      </c>
      <c r="X41" s="28"/>
    </row>
    <row r="42" spans="1:24" s="1" customFormat="1" ht="13.5" customHeight="1">
      <c r="A42" s="29" t="s">
        <v>17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" customFormat="1" ht="13.5" customHeight="1">
      <c r="A43" s="12" t="s">
        <v>97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" customFormat="1" ht="34.5" customHeight="1">
      <c r="A44" s="13" t="s">
        <v>23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24</v>
      </c>
      <c r="M44" s="13"/>
      <c r="N44" s="13" t="s">
        <v>98</v>
      </c>
      <c r="O44" s="13"/>
      <c r="P44" s="14" t="s">
        <v>26</v>
      </c>
      <c r="Q44" s="14"/>
      <c r="R44" s="14"/>
      <c r="S44" s="14" t="s">
        <v>27</v>
      </c>
      <c r="T44" s="14"/>
      <c r="U44" s="14"/>
      <c r="V44" s="14"/>
      <c r="W44" s="15" t="s">
        <v>28</v>
      </c>
      <c r="X44" s="15"/>
    </row>
    <row r="45" spans="1:24" s="1" customFormat="1" ht="13.5" customHeight="1">
      <c r="A45" s="16" t="s">
        <v>29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30</v>
      </c>
      <c r="M45" s="16"/>
      <c r="N45" s="16" t="s">
        <v>31</v>
      </c>
      <c r="O45" s="16"/>
      <c r="P45" s="17" t="s">
        <v>32</v>
      </c>
      <c r="Q45" s="17"/>
      <c r="R45" s="17"/>
      <c r="S45" s="17" t="s">
        <v>33</v>
      </c>
      <c r="T45" s="17"/>
      <c r="U45" s="17"/>
      <c r="V45" s="17"/>
      <c r="W45" s="18" t="s">
        <v>34</v>
      </c>
      <c r="X45" s="18"/>
    </row>
    <row r="46" spans="1:24" s="1" customFormat="1" ht="13.5" customHeight="1">
      <c r="A46" s="19" t="s">
        <v>99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100</v>
      </c>
      <c r="M46" s="20"/>
      <c r="N46" s="20" t="s">
        <v>37</v>
      </c>
      <c r="O46" s="20"/>
      <c r="P46" s="21">
        <f>102472592.83</f>
        <v>102472592.83</v>
      </c>
      <c r="Q46" s="21"/>
      <c r="R46" s="21"/>
      <c r="S46" s="21">
        <f>29235561.23</f>
        <v>29235561.23</v>
      </c>
      <c r="T46" s="21"/>
      <c r="U46" s="21"/>
      <c r="V46" s="21"/>
      <c r="W46" s="22">
        <f>73237031.6</f>
        <v>73237031.6</v>
      </c>
      <c r="X46" s="22"/>
    </row>
    <row r="47" spans="1:24" s="1" customFormat="1" ht="13.5" customHeight="1">
      <c r="A47" s="30" t="s">
        <v>101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100</v>
      </c>
      <c r="M47" s="31"/>
      <c r="N47" s="31" t="s">
        <v>102</v>
      </c>
      <c r="O47" s="31"/>
      <c r="P47" s="32">
        <f>992600</f>
        <v>992600</v>
      </c>
      <c r="Q47" s="32"/>
      <c r="R47" s="32"/>
      <c r="S47" s="32">
        <f>340688</f>
        <v>340688</v>
      </c>
      <c r="T47" s="32"/>
      <c r="U47" s="32"/>
      <c r="V47" s="32"/>
      <c r="W47" s="33">
        <f>651912</f>
        <v>651912</v>
      </c>
      <c r="X47" s="33"/>
    </row>
    <row r="48" spans="1:24" s="1" customFormat="1" ht="33.75" customHeight="1">
      <c r="A48" s="30" t="s">
        <v>103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100</v>
      </c>
      <c r="M48" s="31"/>
      <c r="N48" s="31" t="s">
        <v>104</v>
      </c>
      <c r="O48" s="31"/>
      <c r="P48" s="32">
        <f>299800</f>
        <v>299800</v>
      </c>
      <c r="Q48" s="32"/>
      <c r="R48" s="32"/>
      <c r="S48" s="32">
        <f>82180.24</f>
        <v>82180.24</v>
      </c>
      <c r="T48" s="32"/>
      <c r="U48" s="32"/>
      <c r="V48" s="32"/>
      <c r="W48" s="33">
        <f>217619.76</f>
        <v>217619.76</v>
      </c>
      <c r="X48" s="33"/>
    </row>
    <row r="49" spans="1:24" s="1" customFormat="1" ht="13.5" customHeight="1">
      <c r="A49" s="30" t="s">
        <v>101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100</v>
      </c>
      <c r="M49" s="31"/>
      <c r="N49" s="31" t="s">
        <v>105</v>
      </c>
      <c r="O49" s="31"/>
      <c r="P49" s="32">
        <f>6262400</f>
        <v>6262400</v>
      </c>
      <c r="Q49" s="32"/>
      <c r="R49" s="32"/>
      <c r="S49" s="32">
        <f>1810877</f>
        <v>1810877</v>
      </c>
      <c r="T49" s="32"/>
      <c r="U49" s="32"/>
      <c r="V49" s="32"/>
      <c r="W49" s="33">
        <f>4451523</f>
        <v>4451523</v>
      </c>
      <c r="X49" s="33"/>
    </row>
    <row r="50" spans="1:24" s="1" customFormat="1" ht="33.75" customHeight="1">
      <c r="A50" s="30" t="s">
        <v>103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100</v>
      </c>
      <c r="M50" s="31"/>
      <c r="N50" s="31" t="s">
        <v>106</v>
      </c>
      <c r="O50" s="31"/>
      <c r="P50" s="32">
        <f>1891300</f>
        <v>1891300</v>
      </c>
      <c r="Q50" s="32"/>
      <c r="R50" s="32"/>
      <c r="S50" s="32">
        <f>474441.1</f>
        <v>474441.1</v>
      </c>
      <c r="T50" s="32"/>
      <c r="U50" s="32"/>
      <c r="V50" s="32"/>
      <c r="W50" s="33">
        <f>1416858.9</f>
        <v>1416858.9</v>
      </c>
      <c r="X50" s="33"/>
    </row>
    <row r="51" spans="1:24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100</v>
      </c>
      <c r="M51" s="31"/>
      <c r="N51" s="31" t="s">
        <v>108</v>
      </c>
      <c r="O51" s="31"/>
      <c r="P51" s="32">
        <f>94400</f>
        <v>94400</v>
      </c>
      <c r="Q51" s="32"/>
      <c r="R51" s="32"/>
      <c r="S51" s="32">
        <f>77080.45</f>
        <v>77080.45</v>
      </c>
      <c r="T51" s="32"/>
      <c r="U51" s="32"/>
      <c r="V51" s="32"/>
      <c r="W51" s="33">
        <f>17319.55</f>
        <v>17319.55</v>
      </c>
      <c r="X51" s="33"/>
    </row>
    <row r="52" spans="1:24" s="1" customFormat="1" ht="13.5" customHeight="1">
      <c r="A52" s="30" t="s">
        <v>109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100</v>
      </c>
      <c r="M52" s="31"/>
      <c r="N52" s="31" t="s">
        <v>110</v>
      </c>
      <c r="O52" s="31"/>
      <c r="P52" s="32">
        <f>4500</f>
        <v>4500</v>
      </c>
      <c r="Q52" s="32"/>
      <c r="R52" s="32"/>
      <c r="S52" s="32">
        <f>3250</f>
        <v>3250</v>
      </c>
      <c r="T52" s="32"/>
      <c r="U52" s="32"/>
      <c r="V52" s="32"/>
      <c r="W52" s="33">
        <f>1250</f>
        <v>1250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100</v>
      </c>
      <c r="M53" s="31"/>
      <c r="N53" s="31" t="s">
        <v>112</v>
      </c>
      <c r="O53" s="31"/>
      <c r="P53" s="32">
        <f>17000</f>
        <v>17000</v>
      </c>
      <c r="Q53" s="32"/>
      <c r="R53" s="32"/>
      <c r="S53" s="32">
        <f>13284</f>
        <v>13284</v>
      </c>
      <c r="T53" s="32"/>
      <c r="U53" s="32"/>
      <c r="V53" s="32"/>
      <c r="W53" s="33">
        <f>3716</f>
        <v>3716</v>
      </c>
      <c r="X53" s="33"/>
    </row>
    <row r="54" spans="1:24" s="1" customFormat="1" ht="13.5" customHeight="1">
      <c r="A54" s="30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100</v>
      </c>
      <c r="M54" s="31"/>
      <c r="N54" s="31" t="s">
        <v>113</v>
      </c>
      <c r="O54" s="31"/>
      <c r="P54" s="32">
        <f>7600</f>
        <v>7600</v>
      </c>
      <c r="Q54" s="32"/>
      <c r="R54" s="32"/>
      <c r="S54" s="32">
        <f>7600</f>
        <v>7600</v>
      </c>
      <c r="T54" s="32"/>
      <c r="U54" s="32"/>
      <c r="V54" s="32"/>
      <c r="W54" s="33">
        <f>0</f>
        <v>0</v>
      </c>
      <c r="X54" s="33"/>
    </row>
    <row r="55" spans="1:24" s="1" customFormat="1" ht="13.5" customHeight="1">
      <c r="A55" s="30" t="s">
        <v>114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100</v>
      </c>
      <c r="M55" s="31"/>
      <c r="N55" s="31" t="s">
        <v>115</v>
      </c>
      <c r="O55" s="31"/>
      <c r="P55" s="32">
        <f>384900</f>
        <v>384900</v>
      </c>
      <c r="Q55" s="32"/>
      <c r="R55" s="32"/>
      <c r="S55" s="32">
        <f>384900</f>
        <v>384900</v>
      </c>
      <c r="T55" s="32"/>
      <c r="U55" s="32"/>
      <c r="V55" s="32"/>
      <c r="W55" s="33">
        <f>0</f>
        <v>0</v>
      </c>
      <c r="X55" s="33"/>
    </row>
    <row r="56" spans="1:24" s="1" customFormat="1" ht="13.5" customHeight="1">
      <c r="A56" s="30" t="s">
        <v>116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100</v>
      </c>
      <c r="M56" s="31"/>
      <c r="N56" s="31" t="s">
        <v>117</v>
      </c>
      <c r="O56" s="31"/>
      <c r="P56" s="32">
        <f>40000</f>
        <v>40000</v>
      </c>
      <c r="Q56" s="32"/>
      <c r="R56" s="32"/>
      <c r="S56" s="34" t="s">
        <v>48</v>
      </c>
      <c r="T56" s="34"/>
      <c r="U56" s="34"/>
      <c r="V56" s="34"/>
      <c r="W56" s="33">
        <f>40000</f>
        <v>40000</v>
      </c>
      <c r="X56" s="33"/>
    </row>
    <row r="57" spans="1:24" s="1" customFormat="1" ht="13.5" customHeight="1">
      <c r="A57" s="30" t="s">
        <v>107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100</v>
      </c>
      <c r="M57" s="31"/>
      <c r="N57" s="31" t="s">
        <v>118</v>
      </c>
      <c r="O57" s="31"/>
      <c r="P57" s="32">
        <f>169300</f>
        <v>169300</v>
      </c>
      <c r="Q57" s="32"/>
      <c r="R57" s="32"/>
      <c r="S57" s="34" t="s">
        <v>48</v>
      </c>
      <c r="T57" s="34"/>
      <c r="U57" s="34"/>
      <c r="V57" s="34"/>
      <c r="W57" s="33">
        <f>169300</f>
        <v>169300</v>
      </c>
      <c r="X57" s="33"/>
    </row>
    <row r="58" spans="1:24" s="1" customFormat="1" ht="13.5" customHeight="1">
      <c r="A58" s="30" t="s">
        <v>119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100</v>
      </c>
      <c r="M58" s="31"/>
      <c r="N58" s="31" t="s">
        <v>120</v>
      </c>
      <c r="O58" s="31"/>
      <c r="P58" s="32">
        <f>6201100</f>
        <v>6201100</v>
      </c>
      <c r="Q58" s="32"/>
      <c r="R58" s="32"/>
      <c r="S58" s="32">
        <f>1507054.2</f>
        <v>1507054.2</v>
      </c>
      <c r="T58" s="32"/>
      <c r="U58" s="32"/>
      <c r="V58" s="32"/>
      <c r="W58" s="33">
        <f>4694045.8</f>
        <v>4694045.8</v>
      </c>
      <c r="X58" s="33"/>
    </row>
    <row r="59" spans="1:24" s="1" customFormat="1" ht="24" customHeight="1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100</v>
      </c>
      <c r="M59" s="31"/>
      <c r="N59" s="31" t="s">
        <v>122</v>
      </c>
      <c r="O59" s="31"/>
      <c r="P59" s="32">
        <f>1872700</f>
        <v>1872700</v>
      </c>
      <c r="Q59" s="32"/>
      <c r="R59" s="32"/>
      <c r="S59" s="32">
        <f>393659.42</f>
        <v>393659.42</v>
      </c>
      <c r="T59" s="32"/>
      <c r="U59" s="32"/>
      <c r="V59" s="32"/>
      <c r="W59" s="33">
        <f>1479040.58</f>
        <v>1479040.58</v>
      </c>
      <c r="X59" s="33"/>
    </row>
    <row r="60" spans="1:24" s="1" customFormat="1" ht="13.5" customHeight="1">
      <c r="A60" s="30" t="s">
        <v>107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100</v>
      </c>
      <c r="M60" s="31"/>
      <c r="N60" s="31" t="s">
        <v>123</v>
      </c>
      <c r="O60" s="31"/>
      <c r="P60" s="32">
        <f>2491000</f>
        <v>2491000</v>
      </c>
      <c r="Q60" s="32"/>
      <c r="R60" s="32"/>
      <c r="S60" s="32">
        <f>1581613.51</f>
        <v>1581613.51</v>
      </c>
      <c r="T60" s="32"/>
      <c r="U60" s="32"/>
      <c r="V60" s="32"/>
      <c r="W60" s="33">
        <f>909386.49</f>
        <v>909386.49</v>
      </c>
      <c r="X60" s="33"/>
    </row>
    <row r="61" spans="1:24" s="1" customFormat="1" ht="13.5" customHeight="1">
      <c r="A61" s="30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100</v>
      </c>
      <c r="M61" s="31"/>
      <c r="N61" s="31" t="s">
        <v>125</v>
      </c>
      <c r="O61" s="31"/>
      <c r="P61" s="32">
        <f>1200000</f>
        <v>1200000</v>
      </c>
      <c r="Q61" s="32"/>
      <c r="R61" s="32"/>
      <c r="S61" s="32">
        <f>535918.54</f>
        <v>535918.54</v>
      </c>
      <c r="T61" s="32"/>
      <c r="U61" s="32"/>
      <c r="V61" s="32"/>
      <c r="W61" s="33">
        <f>664081.46</f>
        <v>664081.46</v>
      </c>
      <c r="X61" s="33"/>
    </row>
    <row r="62" spans="1:24" s="1" customFormat="1" ht="13.5" customHeight="1">
      <c r="A62" s="30" t="s">
        <v>109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100</v>
      </c>
      <c r="M62" s="31"/>
      <c r="N62" s="31" t="s">
        <v>126</v>
      </c>
      <c r="O62" s="31"/>
      <c r="P62" s="32">
        <f>8500</f>
        <v>8500</v>
      </c>
      <c r="Q62" s="32"/>
      <c r="R62" s="32"/>
      <c r="S62" s="32">
        <f>3951</f>
        <v>3951</v>
      </c>
      <c r="T62" s="32"/>
      <c r="U62" s="32"/>
      <c r="V62" s="32"/>
      <c r="W62" s="33">
        <f>4549</f>
        <v>4549</v>
      </c>
      <c r="X62" s="33"/>
    </row>
    <row r="63" spans="1:24" s="1" customFormat="1" ht="13.5" customHeight="1">
      <c r="A63" s="30" t="s">
        <v>111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100</v>
      </c>
      <c r="M63" s="31"/>
      <c r="N63" s="31" t="s">
        <v>127</v>
      </c>
      <c r="O63" s="31"/>
      <c r="P63" s="32">
        <f>12500</f>
        <v>12500</v>
      </c>
      <c r="Q63" s="32"/>
      <c r="R63" s="32"/>
      <c r="S63" s="34" t="s">
        <v>48</v>
      </c>
      <c r="T63" s="34"/>
      <c r="U63" s="34"/>
      <c r="V63" s="34"/>
      <c r="W63" s="33">
        <f>12500</f>
        <v>12500</v>
      </c>
      <c r="X63" s="33"/>
    </row>
    <row r="64" spans="1:24" s="1" customFormat="1" ht="13.5" customHeight="1">
      <c r="A64" s="30" t="s">
        <v>109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100</v>
      </c>
      <c r="M64" s="31"/>
      <c r="N64" s="31" t="s">
        <v>128</v>
      </c>
      <c r="O64" s="31"/>
      <c r="P64" s="32">
        <f>27000</f>
        <v>27000</v>
      </c>
      <c r="Q64" s="32"/>
      <c r="R64" s="32"/>
      <c r="S64" s="32">
        <f>8893</f>
        <v>8893</v>
      </c>
      <c r="T64" s="32"/>
      <c r="U64" s="32"/>
      <c r="V64" s="32"/>
      <c r="W64" s="33">
        <f>18107</f>
        <v>18107</v>
      </c>
      <c r="X64" s="33"/>
    </row>
    <row r="65" spans="1:24" s="1" customFormat="1" ht="13.5" customHeight="1">
      <c r="A65" s="30" t="s">
        <v>111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100</v>
      </c>
      <c r="M65" s="31"/>
      <c r="N65" s="31" t="s">
        <v>129</v>
      </c>
      <c r="O65" s="31"/>
      <c r="P65" s="32">
        <f>3000</f>
        <v>3000</v>
      </c>
      <c r="Q65" s="32"/>
      <c r="R65" s="32"/>
      <c r="S65" s="34" t="s">
        <v>48</v>
      </c>
      <c r="T65" s="34"/>
      <c r="U65" s="34"/>
      <c r="V65" s="34"/>
      <c r="W65" s="33">
        <f>3000</f>
        <v>3000</v>
      </c>
      <c r="X65" s="33"/>
    </row>
    <row r="66" spans="1:24" s="1" customFormat="1" ht="13.5" customHeight="1">
      <c r="A66" s="30" t="s">
        <v>101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100</v>
      </c>
      <c r="M66" s="31"/>
      <c r="N66" s="31" t="s">
        <v>130</v>
      </c>
      <c r="O66" s="31"/>
      <c r="P66" s="32">
        <f>455529.95</f>
        <v>455529.95</v>
      </c>
      <c r="Q66" s="32"/>
      <c r="R66" s="32"/>
      <c r="S66" s="32">
        <f>104299</f>
        <v>104299</v>
      </c>
      <c r="T66" s="32"/>
      <c r="U66" s="32"/>
      <c r="V66" s="32"/>
      <c r="W66" s="33">
        <f>351230.95</f>
        <v>351230.95</v>
      </c>
      <c r="X66" s="33"/>
    </row>
    <row r="67" spans="1:24" s="1" customFormat="1" ht="33.75" customHeight="1">
      <c r="A67" s="30" t="s">
        <v>103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100</v>
      </c>
      <c r="M67" s="31"/>
      <c r="N67" s="31" t="s">
        <v>131</v>
      </c>
      <c r="O67" s="31"/>
      <c r="P67" s="32">
        <f>137570.05</f>
        <v>137570.05</v>
      </c>
      <c r="Q67" s="32"/>
      <c r="R67" s="32"/>
      <c r="S67" s="32">
        <f>30804</f>
        <v>30804</v>
      </c>
      <c r="T67" s="32"/>
      <c r="U67" s="32"/>
      <c r="V67" s="32"/>
      <c r="W67" s="33">
        <f>106766.05</f>
        <v>106766.05</v>
      </c>
      <c r="X67" s="33"/>
    </row>
    <row r="68" spans="1:24" s="1" customFormat="1" ht="13.5" customHeight="1">
      <c r="A68" s="30" t="s">
        <v>107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100</v>
      </c>
      <c r="M68" s="31"/>
      <c r="N68" s="31" t="s">
        <v>132</v>
      </c>
      <c r="O68" s="31"/>
      <c r="P68" s="32">
        <f>30000</f>
        <v>30000</v>
      </c>
      <c r="Q68" s="32"/>
      <c r="R68" s="32"/>
      <c r="S68" s="34" t="s">
        <v>48</v>
      </c>
      <c r="T68" s="34"/>
      <c r="U68" s="34"/>
      <c r="V68" s="34"/>
      <c r="W68" s="33">
        <f>30000</f>
        <v>30000</v>
      </c>
      <c r="X68" s="33"/>
    </row>
    <row r="69" spans="1:24" s="1" customFormat="1" ht="13.5" customHeight="1">
      <c r="A69" s="30" t="s">
        <v>107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100</v>
      </c>
      <c r="M69" s="31"/>
      <c r="N69" s="31" t="s">
        <v>133</v>
      </c>
      <c r="O69" s="31"/>
      <c r="P69" s="32">
        <f>120000</f>
        <v>120000</v>
      </c>
      <c r="Q69" s="32"/>
      <c r="R69" s="32"/>
      <c r="S69" s="34" t="s">
        <v>48</v>
      </c>
      <c r="T69" s="34"/>
      <c r="U69" s="34"/>
      <c r="V69" s="34"/>
      <c r="W69" s="33">
        <f>120000</f>
        <v>120000</v>
      </c>
      <c r="X69" s="33"/>
    </row>
    <row r="70" spans="1:24" s="1" customFormat="1" ht="13.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100</v>
      </c>
      <c r="M70" s="31"/>
      <c r="N70" s="31" t="s">
        <v>134</v>
      </c>
      <c r="O70" s="31"/>
      <c r="P70" s="32">
        <f>50000</f>
        <v>50000</v>
      </c>
      <c r="Q70" s="32"/>
      <c r="R70" s="32"/>
      <c r="S70" s="34" t="s">
        <v>48</v>
      </c>
      <c r="T70" s="34"/>
      <c r="U70" s="34"/>
      <c r="V70" s="34"/>
      <c r="W70" s="33">
        <f>50000</f>
        <v>50000</v>
      </c>
      <c r="X70" s="33"/>
    </row>
    <row r="71" spans="1:24" s="1" customFormat="1" ht="13.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100</v>
      </c>
      <c r="M71" s="31"/>
      <c r="N71" s="31" t="s">
        <v>135</v>
      </c>
      <c r="O71" s="31"/>
      <c r="P71" s="32">
        <f>2000</f>
        <v>2000</v>
      </c>
      <c r="Q71" s="32"/>
      <c r="R71" s="32"/>
      <c r="S71" s="34" t="s">
        <v>48</v>
      </c>
      <c r="T71" s="34"/>
      <c r="U71" s="34"/>
      <c r="V71" s="34"/>
      <c r="W71" s="33">
        <f>2000</f>
        <v>2000</v>
      </c>
      <c r="X71" s="33"/>
    </row>
    <row r="72" spans="1:24" s="1" customFormat="1" ht="13.5" customHeight="1">
      <c r="A72" s="30" t="s">
        <v>116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100</v>
      </c>
      <c r="M72" s="31"/>
      <c r="N72" s="31" t="s">
        <v>136</v>
      </c>
      <c r="O72" s="31"/>
      <c r="P72" s="32">
        <f>20000</f>
        <v>20000</v>
      </c>
      <c r="Q72" s="32"/>
      <c r="R72" s="32"/>
      <c r="S72" s="34" t="s">
        <v>48</v>
      </c>
      <c r="T72" s="34"/>
      <c r="U72" s="34"/>
      <c r="V72" s="34"/>
      <c r="W72" s="33">
        <f>20000</f>
        <v>20000</v>
      </c>
      <c r="X72" s="33"/>
    </row>
    <row r="73" spans="1:24" s="1" customFormat="1" ht="13.5" customHeight="1">
      <c r="A73" s="30" t="s">
        <v>137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100</v>
      </c>
      <c r="M73" s="31"/>
      <c r="N73" s="31" t="s">
        <v>138</v>
      </c>
      <c r="O73" s="31"/>
      <c r="P73" s="32">
        <f>60000</f>
        <v>60000</v>
      </c>
      <c r="Q73" s="32"/>
      <c r="R73" s="32"/>
      <c r="S73" s="34" t="s">
        <v>48</v>
      </c>
      <c r="T73" s="34"/>
      <c r="U73" s="34"/>
      <c r="V73" s="34"/>
      <c r="W73" s="33">
        <f>60000</f>
        <v>60000</v>
      </c>
      <c r="X73" s="33"/>
    </row>
    <row r="74" spans="1:24" s="1" customFormat="1" ht="13.5" customHeight="1">
      <c r="A74" s="30" t="s">
        <v>107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100</v>
      </c>
      <c r="M74" s="31"/>
      <c r="N74" s="31" t="s">
        <v>139</v>
      </c>
      <c r="O74" s="31"/>
      <c r="P74" s="32">
        <f>2387900</f>
        <v>2387900</v>
      </c>
      <c r="Q74" s="32"/>
      <c r="R74" s="32"/>
      <c r="S74" s="32">
        <f>1089527.31</f>
        <v>1089527.31</v>
      </c>
      <c r="T74" s="32"/>
      <c r="U74" s="32"/>
      <c r="V74" s="32"/>
      <c r="W74" s="33">
        <f>1298372.69</f>
        <v>1298372.69</v>
      </c>
      <c r="X74" s="33"/>
    </row>
    <row r="75" spans="1:24" s="1" customFormat="1" ht="24" customHeight="1">
      <c r="A75" s="30" t="s">
        <v>140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100</v>
      </c>
      <c r="M75" s="31"/>
      <c r="N75" s="31" t="s">
        <v>141</v>
      </c>
      <c r="O75" s="31"/>
      <c r="P75" s="32">
        <f>3044300</f>
        <v>3044300</v>
      </c>
      <c r="Q75" s="32"/>
      <c r="R75" s="32"/>
      <c r="S75" s="32">
        <f>1471897.02</f>
        <v>1471897.02</v>
      </c>
      <c r="T75" s="32"/>
      <c r="U75" s="32"/>
      <c r="V75" s="32"/>
      <c r="W75" s="33">
        <f>1572402.98</f>
        <v>1572402.98</v>
      </c>
      <c r="X75" s="33"/>
    </row>
    <row r="76" spans="1:24" s="1" customFormat="1" ht="13.5" customHeight="1">
      <c r="A76" s="30" t="s">
        <v>107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100</v>
      </c>
      <c r="M76" s="31"/>
      <c r="N76" s="31" t="s">
        <v>142</v>
      </c>
      <c r="O76" s="31"/>
      <c r="P76" s="32">
        <f>328100</f>
        <v>328100</v>
      </c>
      <c r="Q76" s="32"/>
      <c r="R76" s="32"/>
      <c r="S76" s="32">
        <f>54000</f>
        <v>54000</v>
      </c>
      <c r="T76" s="32"/>
      <c r="U76" s="32"/>
      <c r="V76" s="32"/>
      <c r="W76" s="33">
        <f>274100</f>
        <v>274100</v>
      </c>
      <c r="X76" s="33"/>
    </row>
    <row r="77" spans="1:24" s="1" customFormat="1" ht="13.5" customHeight="1">
      <c r="A77" s="30" t="s">
        <v>107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100</v>
      </c>
      <c r="M77" s="31"/>
      <c r="N77" s="31" t="s">
        <v>143</v>
      </c>
      <c r="O77" s="31"/>
      <c r="P77" s="32">
        <f>1000000</f>
        <v>1000000</v>
      </c>
      <c r="Q77" s="32"/>
      <c r="R77" s="32"/>
      <c r="S77" s="32">
        <f>5010.73</f>
        <v>5010.73</v>
      </c>
      <c r="T77" s="32"/>
      <c r="U77" s="32"/>
      <c r="V77" s="32"/>
      <c r="W77" s="33">
        <f>994989.27</f>
        <v>994989.27</v>
      </c>
      <c r="X77" s="33"/>
    </row>
    <row r="78" spans="1:24" s="1" customFormat="1" ht="13.5" customHeight="1">
      <c r="A78" s="30" t="s">
        <v>107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100</v>
      </c>
      <c r="M78" s="31"/>
      <c r="N78" s="31" t="s">
        <v>144</v>
      </c>
      <c r="O78" s="31"/>
      <c r="P78" s="32">
        <f>77000</f>
        <v>77000</v>
      </c>
      <c r="Q78" s="32"/>
      <c r="R78" s="32"/>
      <c r="S78" s="32">
        <f>77000</f>
        <v>77000</v>
      </c>
      <c r="T78" s="32"/>
      <c r="U78" s="32"/>
      <c r="V78" s="32"/>
      <c r="W78" s="33">
        <f>0</f>
        <v>0</v>
      </c>
      <c r="X78" s="33"/>
    </row>
    <row r="79" spans="1:24" s="1" customFormat="1" ht="13.5" customHeight="1">
      <c r="A79" s="30" t="s">
        <v>107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100</v>
      </c>
      <c r="M79" s="31"/>
      <c r="N79" s="31" t="s">
        <v>145</v>
      </c>
      <c r="O79" s="31"/>
      <c r="P79" s="32">
        <f>910000</f>
        <v>910000</v>
      </c>
      <c r="Q79" s="32"/>
      <c r="R79" s="32"/>
      <c r="S79" s="32">
        <f>273000</f>
        <v>273000</v>
      </c>
      <c r="T79" s="32"/>
      <c r="U79" s="32"/>
      <c r="V79" s="32"/>
      <c r="W79" s="33">
        <f>637000</f>
        <v>637000</v>
      </c>
      <c r="X79" s="33"/>
    </row>
    <row r="80" spans="1:24" s="1" customFormat="1" ht="13.5" customHeight="1">
      <c r="A80" s="30" t="s">
        <v>107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100</v>
      </c>
      <c r="M80" s="31"/>
      <c r="N80" s="31" t="s">
        <v>146</v>
      </c>
      <c r="O80" s="31"/>
      <c r="P80" s="32">
        <f>200000</f>
        <v>200000</v>
      </c>
      <c r="Q80" s="32"/>
      <c r="R80" s="32"/>
      <c r="S80" s="34" t="s">
        <v>48</v>
      </c>
      <c r="T80" s="34"/>
      <c r="U80" s="34"/>
      <c r="V80" s="34"/>
      <c r="W80" s="33">
        <f>200000</f>
        <v>200000</v>
      </c>
      <c r="X80" s="33"/>
    </row>
    <row r="81" spans="1:24" s="1" customFormat="1" ht="13.5" customHeight="1">
      <c r="A81" s="30" t="s">
        <v>107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100</v>
      </c>
      <c r="M81" s="31"/>
      <c r="N81" s="31" t="s">
        <v>147</v>
      </c>
      <c r="O81" s="31"/>
      <c r="P81" s="32">
        <f>1700000</f>
        <v>1700000</v>
      </c>
      <c r="Q81" s="32"/>
      <c r="R81" s="32"/>
      <c r="S81" s="34" t="s">
        <v>48</v>
      </c>
      <c r="T81" s="34"/>
      <c r="U81" s="34"/>
      <c r="V81" s="34"/>
      <c r="W81" s="33">
        <f>1700000</f>
        <v>1700000</v>
      </c>
      <c r="X81" s="33"/>
    </row>
    <row r="82" spans="1:24" s="1" customFormat="1" ht="13.5" customHeight="1">
      <c r="A82" s="30" t="s">
        <v>107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100</v>
      </c>
      <c r="M82" s="31"/>
      <c r="N82" s="31" t="s">
        <v>148</v>
      </c>
      <c r="O82" s="31"/>
      <c r="P82" s="32">
        <f>25000</f>
        <v>25000</v>
      </c>
      <c r="Q82" s="32"/>
      <c r="R82" s="32"/>
      <c r="S82" s="34" t="s">
        <v>48</v>
      </c>
      <c r="T82" s="34"/>
      <c r="U82" s="34"/>
      <c r="V82" s="34"/>
      <c r="W82" s="33">
        <f>25000</f>
        <v>25000</v>
      </c>
      <c r="X82" s="33"/>
    </row>
    <row r="83" spans="1:24" s="1" customFormat="1" ht="13.5" customHeight="1">
      <c r="A83" s="30" t="s">
        <v>109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100</v>
      </c>
      <c r="M83" s="31"/>
      <c r="N83" s="31" t="s">
        <v>149</v>
      </c>
      <c r="O83" s="31"/>
      <c r="P83" s="32">
        <f>25000</f>
        <v>25000</v>
      </c>
      <c r="Q83" s="32"/>
      <c r="R83" s="32"/>
      <c r="S83" s="32">
        <f>17160</f>
        <v>17160</v>
      </c>
      <c r="T83" s="32"/>
      <c r="U83" s="32"/>
      <c r="V83" s="32"/>
      <c r="W83" s="33">
        <f>7840</f>
        <v>7840</v>
      </c>
      <c r="X83" s="33"/>
    </row>
    <row r="84" spans="1:24" s="1" customFormat="1" ht="13.5" customHeight="1">
      <c r="A84" s="30" t="s">
        <v>107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100</v>
      </c>
      <c r="M84" s="31"/>
      <c r="N84" s="31" t="s">
        <v>150</v>
      </c>
      <c r="O84" s="31"/>
      <c r="P84" s="32">
        <f>1600000</f>
        <v>1600000</v>
      </c>
      <c r="Q84" s="32"/>
      <c r="R84" s="32"/>
      <c r="S84" s="34" t="s">
        <v>48</v>
      </c>
      <c r="T84" s="34"/>
      <c r="U84" s="34"/>
      <c r="V84" s="34"/>
      <c r="W84" s="33">
        <f>1600000</f>
        <v>1600000</v>
      </c>
      <c r="X84" s="33"/>
    </row>
    <row r="85" spans="1:24" s="1" customFormat="1" ht="33.75" customHeight="1">
      <c r="A85" s="30" t="s">
        <v>151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100</v>
      </c>
      <c r="M85" s="31"/>
      <c r="N85" s="31" t="s">
        <v>152</v>
      </c>
      <c r="O85" s="31"/>
      <c r="P85" s="32">
        <f>600000</f>
        <v>600000</v>
      </c>
      <c r="Q85" s="32"/>
      <c r="R85" s="32"/>
      <c r="S85" s="34" t="s">
        <v>48</v>
      </c>
      <c r="T85" s="34"/>
      <c r="U85" s="34"/>
      <c r="V85" s="34"/>
      <c r="W85" s="33">
        <f>600000</f>
        <v>600000</v>
      </c>
      <c r="X85" s="33"/>
    </row>
    <row r="86" spans="1:24" s="1" customFormat="1" ht="24" customHeight="1">
      <c r="A86" s="30" t="s">
        <v>140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100</v>
      </c>
      <c r="M86" s="31"/>
      <c r="N86" s="31" t="s">
        <v>153</v>
      </c>
      <c r="O86" s="31"/>
      <c r="P86" s="32">
        <f>2800000</f>
        <v>2800000</v>
      </c>
      <c r="Q86" s="32"/>
      <c r="R86" s="32"/>
      <c r="S86" s="34" t="s">
        <v>48</v>
      </c>
      <c r="T86" s="34"/>
      <c r="U86" s="34"/>
      <c r="V86" s="34"/>
      <c r="W86" s="33">
        <f>2800000</f>
        <v>2800000</v>
      </c>
      <c r="X86" s="33"/>
    </row>
    <row r="87" spans="1:24" s="1" customFormat="1" ht="13.5" customHeight="1">
      <c r="A87" s="30" t="s">
        <v>107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100</v>
      </c>
      <c r="M87" s="31"/>
      <c r="N87" s="31" t="s">
        <v>154</v>
      </c>
      <c r="O87" s="31"/>
      <c r="P87" s="32">
        <f>400000</f>
        <v>400000</v>
      </c>
      <c r="Q87" s="32"/>
      <c r="R87" s="32"/>
      <c r="S87" s="32">
        <f>270802.6</f>
        <v>270802.6</v>
      </c>
      <c r="T87" s="32"/>
      <c r="U87" s="32"/>
      <c r="V87" s="32"/>
      <c r="W87" s="33">
        <f>129197.4</f>
        <v>129197.4</v>
      </c>
      <c r="X87" s="33"/>
    </row>
    <row r="88" spans="1:24" s="1" customFormat="1" ht="13.5" customHeight="1">
      <c r="A88" s="30" t="s">
        <v>107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100</v>
      </c>
      <c r="M88" s="31"/>
      <c r="N88" s="31" t="s">
        <v>155</v>
      </c>
      <c r="O88" s="31"/>
      <c r="P88" s="32">
        <f>140000</f>
        <v>140000</v>
      </c>
      <c r="Q88" s="32"/>
      <c r="R88" s="32"/>
      <c r="S88" s="32">
        <f>33139.29</f>
        <v>33139.29</v>
      </c>
      <c r="T88" s="32"/>
      <c r="U88" s="32"/>
      <c r="V88" s="32"/>
      <c r="W88" s="33">
        <f>106860.71</f>
        <v>106860.71</v>
      </c>
      <c r="X88" s="33"/>
    </row>
    <row r="89" spans="1:24" s="1" customFormat="1" ht="13.5" customHeight="1">
      <c r="A89" s="30" t="s">
        <v>107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100</v>
      </c>
      <c r="M89" s="31"/>
      <c r="N89" s="31" t="s">
        <v>156</v>
      </c>
      <c r="O89" s="31"/>
      <c r="P89" s="32">
        <f>800000</f>
        <v>800000</v>
      </c>
      <c r="Q89" s="32"/>
      <c r="R89" s="32"/>
      <c r="S89" s="32">
        <f>126310</f>
        <v>126310</v>
      </c>
      <c r="T89" s="32"/>
      <c r="U89" s="32"/>
      <c r="V89" s="32"/>
      <c r="W89" s="33">
        <f>673690</f>
        <v>673690</v>
      </c>
      <c r="X89" s="33"/>
    </row>
    <row r="90" spans="1:24" s="1" customFormat="1" ht="13.5" customHeight="1">
      <c r="A90" s="30" t="s">
        <v>124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100</v>
      </c>
      <c r="M90" s="31"/>
      <c r="N90" s="31" t="s">
        <v>157</v>
      </c>
      <c r="O90" s="31"/>
      <c r="P90" s="32">
        <f>1800000</f>
        <v>1800000</v>
      </c>
      <c r="Q90" s="32"/>
      <c r="R90" s="32"/>
      <c r="S90" s="32">
        <f>640898.24</f>
        <v>640898.24</v>
      </c>
      <c r="T90" s="32"/>
      <c r="U90" s="32"/>
      <c r="V90" s="32"/>
      <c r="W90" s="33">
        <f>1159101.76</f>
        <v>1159101.76</v>
      </c>
      <c r="X90" s="33"/>
    </row>
    <row r="91" spans="1:24" s="1" customFormat="1" ht="13.5" customHeight="1">
      <c r="A91" s="30" t="s">
        <v>107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100</v>
      </c>
      <c r="M91" s="31"/>
      <c r="N91" s="31" t="s">
        <v>158</v>
      </c>
      <c r="O91" s="31"/>
      <c r="P91" s="32">
        <f>800000</f>
        <v>800000</v>
      </c>
      <c r="Q91" s="32"/>
      <c r="R91" s="32"/>
      <c r="S91" s="32">
        <f>300833.74</f>
        <v>300833.74</v>
      </c>
      <c r="T91" s="32"/>
      <c r="U91" s="32"/>
      <c r="V91" s="32"/>
      <c r="W91" s="33">
        <f>499166.26</f>
        <v>499166.26</v>
      </c>
      <c r="X91" s="33"/>
    </row>
    <row r="92" spans="1:24" s="1" customFormat="1" ht="13.5" customHeight="1">
      <c r="A92" s="30" t="s">
        <v>107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100</v>
      </c>
      <c r="M92" s="31"/>
      <c r="N92" s="31" t="s">
        <v>159</v>
      </c>
      <c r="O92" s="31"/>
      <c r="P92" s="32">
        <f>10000</f>
        <v>10000</v>
      </c>
      <c r="Q92" s="32"/>
      <c r="R92" s="32"/>
      <c r="S92" s="34" t="s">
        <v>48</v>
      </c>
      <c r="T92" s="34"/>
      <c r="U92" s="34"/>
      <c r="V92" s="34"/>
      <c r="W92" s="33">
        <f>10000</f>
        <v>10000</v>
      </c>
      <c r="X92" s="33"/>
    </row>
    <row r="93" spans="1:24" s="1" customFormat="1" ht="13.5" customHeight="1">
      <c r="A93" s="30" t="s">
        <v>107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100</v>
      </c>
      <c r="M93" s="31"/>
      <c r="N93" s="31" t="s">
        <v>160</v>
      </c>
      <c r="O93" s="31"/>
      <c r="P93" s="32">
        <f>150000</f>
        <v>150000</v>
      </c>
      <c r="Q93" s="32"/>
      <c r="R93" s="32"/>
      <c r="S93" s="34" t="s">
        <v>48</v>
      </c>
      <c r="T93" s="34"/>
      <c r="U93" s="34"/>
      <c r="V93" s="34"/>
      <c r="W93" s="33">
        <f>150000</f>
        <v>150000</v>
      </c>
      <c r="X93" s="33"/>
    </row>
    <row r="94" spans="1:24" s="1" customFormat="1" ht="13.5" customHeight="1">
      <c r="A94" s="30" t="s">
        <v>107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100</v>
      </c>
      <c r="M94" s="31"/>
      <c r="N94" s="31" t="s">
        <v>161</v>
      </c>
      <c r="O94" s="31"/>
      <c r="P94" s="32">
        <f>400000</f>
        <v>400000</v>
      </c>
      <c r="Q94" s="32"/>
      <c r="R94" s="32"/>
      <c r="S94" s="34" t="s">
        <v>48</v>
      </c>
      <c r="T94" s="34"/>
      <c r="U94" s="34"/>
      <c r="V94" s="34"/>
      <c r="W94" s="33">
        <f>400000</f>
        <v>400000</v>
      </c>
      <c r="X94" s="33"/>
    </row>
    <row r="95" spans="1:24" s="1" customFormat="1" ht="13.5" customHeight="1">
      <c r="A95" s="30" t="s">
        <v>107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100</v>
      </c>
      <c r="M95" s="31"/>
      <c r="N95" s="31" t="s">
        <v>162</v>
      </c>
      <c r="O95" s="31"/>
      <c r="P95" s="32">
        <f>600000</f>
        <v>600000</v>
      </c>
      <c r="Q95" s="32"/>
      <c r="R95" s="32"/>
      <c r="S95" s="32">
        <f>156248.89</f>
        <v>156248.89</v>
      </c>
      <c r="T95" s="32"/>
      <c r="U95" s="32"/>
      <c r="V95" s="32"/>
      <c r="W95" s="33">
        <f>443751.11</f>
        <v>443751.11</v>
      </c>
      <c r="X95" s="33"/>
    </row>
    <row r="96" spans="1:24" s="1" customFormat="1" ht="13.5" customHeight="1">
      <c r="A96" s="30" t="s">
        <v>107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100</v>
      </c>
      <c r="M96" s="31"/>
      <c r="N96" s="31" t="s">
        <v>163</v>
      </c>
      <c r="O96" s="31"/>
      <c r="P96" s="32">
        <f>1563092.83</f>
        <v>1563092.83</v>
      </c>
      <c r="Q96" s="32"/>
      <c r="R96" s="32"/>
      <c r="S96" s="32">
        <f>1245213.41</f>
        <v>1245213.41</v>
      </c>
      <c r="T96" s="32"/>
      <c r="U96" s="32"/>
      <c r="V96" s="32"/>
      <c r="W96" s="33">
        <f>317879.42</f>
        <v>317879.42</v>
      </c>
      <c r="X96" s="33"/>
    </row>
    <row r="97" spans="1:24" s="1" customFormat="1" ht="13.5" customHeight="1">
      <c r="A97" s="30" t="s">
        <v>107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100</v>
      </c>
      <c r="M97" s="31"/>
      <c r="N97" s="31" t="s">
        <v>164</v>
      </c>
      <c r="O97" s="31"/>
      <c r="P97" s="32">
        <f>850000</f>
        <v>850000</v>
      </c>
      <c r="Q97" s="32"/>
      <c r="R97" s="32"/>
      <c r="S97" s="34" t="s">
        <v>48</v>
      </c>
      <c r="T97" s="34"/>
      <c r="U97" s="34"/>
      <c r="V97" s="34"/>
      <c r="W97" s="33">
        <f>850000</f>
        <v>850000</v>
      </c>
      <c r="X97" s="33"/>
    </row>
    <row r="98" spans="1:24" s="1" customFormat="1" ht="33.75" customHeight="1">
      <c r="A98" s="30" t="s">
        <v>165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100</v>
      </c>
      <c r="M98" s="31"/>
      <c r="N98" s="31" t="s">
        <v>166</v>
      </c>
      <c r="O98" s="31"/>
      <c r="P98" s="32">
        <f>14755000</f>
        <v>14755000</v>
      </c>
      <c r="Q98" s="32"/>
      <c r="R98" s="32"/>
      <c r="S98" s="32">
        <f>4310000</f>
        <v>4310000</v>
      </c>
      <c r="T98" s="32"/>
      <c r="U98" s="32"/>
      <c r="V98" s="32"/>
      <c r="W98" s="33">
        <f>10445000</f>
        <v>10445000</v>
      </c>
      <c r="X98" s="33"/>
    </row>
    <row r="99" spans="1:24" s="1" customFormat="1" ht="33.75" customHeight="1">
      <c r="A99" s="30" t="s">
        <v>165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100</v>
      </c>
      <c r="M99" s="31"/>
      <c r="N99" s="31" t="s">
        <v>167</v>
      </c>
      <c r="O99" s="31"/>
      <c r="P99" s="32">
        <f>45000</f>
        <v>45000</v>
      </c>
      <c r="Q99" s="32"/>
      <c r="R99" s="32"/>
      <c r="S99" s="34" t="s">
        <v>48</v>
      </c>
      <c r="T99" s="34"/>
      <c r="U99" s="34"/>
      <c r="V99" s="34"/>
      <c r="W99" s="33">
        <f>45000</f>
        <v>45000</v>
      </c>
      <c r="X99" s="33"/>
    </row>
    <row r="100" spans="1:24" s="1" customFormat="1" ht="13.5" customHeight="1">
      <c r="A100" s="30" t="s">
        <v>107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100</v>
      </c>
      <c r="M100" s="31"/>
      <c r="N100" s="31" t="s">
        <v>168</v>
      </c>
      <c r="O100" s="31"/>
      <c r="P100" s="32">
        <f>480000</f>
        <v>480000</v>
      </c>
      <c r="Q100" s="32"/>
      <c r="R100" s="32"/>
      <c r="S100" s="32">
        <f>79750</f>
        <v>79750</v>
      </c>
      <c r="T100" s="32"/>
      <c r="U100" s="32"/>
      <c r="V100" s="32"/>
      <c r="W100" s="33">
        <f>400250</f>
        <v>400250</v>
      </c>
      <c r="X100" s="33"/>
    </row>
    <row r="101" spans="1:24" s="1" customFormat="1" ht="13.5" customHeight="1">
      <c r="A101" s="30" t="s">
        <v>169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100</v>
      </c>
      <c r="M101" s="31"/>
      <c r="N101" s="31" t="s">
        <v>170</v>
      </c>
      <c r="O101" s="31"/>
      <c r="P101" s="32">
        <f>701200</f>
        <v>701200</v>
      </c>
      <c r="Q101" s="32"/>
      <c r="R101" s="32"/>
      <c r="S101" s="32">
        <f>184065</f>
        <v>184065</v>
      </c>
      <c r="T101" s="32"/>
      <c r="U101" s="32"/>
      <c r="V101" s="32"/>
      <c r="W101" s="33">
        <f>517135</f>
        <v>517135</v>
      </c>
      <c r="X101" s="33"/>
    </row>
    <row r="102" spans="1:24" s="1" customFormat="1" ht="33.75" customHeight="1">
      <c r="A102" s="30" t="s">
        <v>165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100</v>
      </c>
      <c r="M102" s="31"/>
      <c r="N102" s="31" t="s">
        <v>171</v>
      </c>
      <c r="O102" s="31"/>
      <c r="P102" s="32">
        <f>2080000</f>
        <v>2080000</v>
      </c>
      <c r="Q102" s="32"/>
      <c r="R102" s="32"/>
      <c r="S102" s="32">
        <f>819900</f>
        <v>819900</v>
      </c>
      <c r="T102" s="32"/>
      <c r="U102" s="32"/>
      <c r="V102" s="32"/>
      <c r="W102" s="33">
        <f>1260100</f>
        <v>1260100</v>
      </c>
      <c r="X102" s="33"/>
    </row>
    <row r="103" spans="1:24" s="1" customFormat="1" ht="24" customHeight="1">
      <c r="A103" s="30" t="s">
        <v>172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100</v>
      </c>
      <c r="M103" s="31"/>
      <c r="N103" s="31" t="s">
        <v>173</v>
      </c>
      <c r="O103" s="31"/>
      <c r="P103" s="32">
        <f>117500</f>
        <v>117500</v>
      </c>
      <c r="Q103" s="32"/>
      <c r="R103" s="32"/>
      <c r="S103" s="34" t="s">
        <v>48</v>
      </c>
      <c r="T103" s="34"/>
      <c r="U103" s="34"/>
      <c r="V103" s="34"/>
      <c r="W103" s="33">
        <f>117500</f>
        <v>117500</v>
      </c>
      <c r="X103" s="33"/>
    </row>
    <row r="104" spans="1:24" s="1" customFormat="1" ht="24" customHeight="1">
      <c r="A104" s="30" t="s">
        <v>172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100</v>
      </c>
      <c r="M104" s="31"/>
      <c r="N104" s="31" t="s">
        <v>174</v>
      </c>
      <c r="O104" s="31"/>
      <c r="P104" s="32">
        <f>37642900</f>
        <v>37642900</v>
      </c>
      <c r="Q104" s="32"/>
      <c r="R104" s="32"/>
      <c r="S104" s="32">
        <f>10389811.01</f>
        <v>10389811.01</v>
      </c>
      <c r="T104" s="32"/>
      <c r="U104" s="32"/>
      <c r="V104" s="32"/>
      <c r="W104" s="33">
        <f>27253088.99</f>
        <v>27253088.99</v>
      </c>
      <c r="X104" s="33"/>
    </row>
    <row r="105" spans="1:24" s="1" customFormat="1" ht="24" customHeight="1">
      <c r="A105" s="30" t="s">
        <v>172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100</v>
      </c>
      <c r="M105" s="31"/>
      <c r="N105" s="31" t="s">
        <v>175</v>
      </c>
      <c r="O105" s="31"/>
      <c r="P105" s="32">
        <f>69000</f>
        <v>69000</v>
      </c>
      <c r="Q105" s="32"/>
      <c r="R105" s="32"/>
      <c r="S105" s="34" t="s">
        <v>48</v>
      </c>
      <c r="T105" s="34"/>
      <c r="U105" s="34"/>
      <c r="V105" s="34"/>
      <c r="W105" s="33">
        <f>69000</f>
        <v>69000</v>
      </c>
      <c r="X105" s="33"/>
    </row>
    <row r="106" spans="1:24" s="1" customFormat="1" ht="24" customHeight="1">
      <c r="A106" s="30" t="s">
        <v>172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100</v>
      </c>
      <c r="M106" s="31"/>
      <c r="N106" s="31" t="s">
        <v>176</v>
      </c>
      <c r="O106" s="31"/>
      <c r="P106" s="32">
        <f>10000</f>
        <v>10000</v>
      </c>
      <c r="Q106" s="32"/>
      <c r="R106" s="32"/>
      <c r="S106" s="34" t="s">
        <v>48</v>
      </c>
      <c r="T106" s="34"/>
      <c r="U106" s="34"/>
      <c r="V106" s="34"/>
      <c r="W106" s="33">
        <f>10000</f>
        <v>10000</v>
      </c>
      <c r="X106" s="33"/>
    </row>
    <row r="107" spans="1:24" s="1" customFormat="1" ht="13.5" customHeight="1">
      <c r="A107" s="30" t="s">
        <v>107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100</v>
      </c>
      <c r="M107" s="31"/>
      <c r="N107" s="31" t="s">
        <v>177</v>
      </c>
      <c r="O107" s="31"/>
      <c r="P107" s="32">
        <f>450000</f>
        <v>450000</v>
      </c>
      <c r="Q107" s="32"/>
      <c r="R107" s="32"/>
      <c r="S107" s="32">
        <f>313843</f>
        <v>313843</v>
      </c>
      <c r="T107" s="32"/>
      <c r="U107" s="32"/>
      <c r="V107" s="32"/>
      <c r="W107" s="33">
        <f>136157</f>
        <v>136157</v>
      </c>
      <c r="X107" s="33"/>
    </row>
    <row r="108" spans="1:24" s="1" customFormat="1" ht="13.5" customHeight="1">
      <c r="A108" s="30" t="s">
        <v>178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100</v>
      </c>
      <c r="M108" s="31"/>
      <c r="N108" s="31" t="s">
        <v>179</v>
      </c>
      <c r="O108" s="31"/>
      <c r="P108" s="32">
        <f>1056900</f>
        <v>1056900</v>
      </c>
      <c r="Q108" s="32"/>
      <c r="R108" s="32"/>
      <c r="S108" s="32">
        <f>16657.53</f>
        <v>16657.53</v>
      </c>
      <c r="T108" s="32"/>
      <c r="U108" s="32"/>
      <c r="V108" s="32"/>
      <c r="W108" s="33">
        <f>1040242.47</f>
        <v>1040242.47</v>
      </c>
      <c r="X108" s="33"/>
    </row>
    <row r="109" spans="1:24" s="1" customFormat="1" ht="15" customHeight="1">
      <c r="A109" s="35" t="s">
        <v>180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6" t="s">
        <v>181</v>
      </c>
      <c r="M109" s="36"/>
      <c r="N109" s="36" t="s">
        <v>37</v>
      </c>
      <c r="O109" s="36"/>
      <c r="P109" s="37">
        <f>-8049992.83</f>
        <v>-8049992.83</v>
      </c>
      <c r="Q109" s="37"/>
      <c r="R109" s="37"/>
      <c r="S109" s="37">
        <f>-4229088.68</f>
        <v>-4229088.68</v>
      </c>
      <c r="T109" s="37"/>
      <c r="U109" s="37"/>
      <c r="V109" s="37"/>
      <c r="W109" s="38" t="s">
        <v>37</v>
      </c>
      <c r="X109" s="38"/>
    </row>
    <row r="110" spans="1:24" s="1" customFormat="1" ht="13.5" customHeight="1">
      <c r="A110" s="7" t="s">
        <v>17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s="1" customFormat="1" ht="13.5" customHeight="1">
      <c r="A111" s="12" t="s">
        <v>182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45.75" customHeight="1">
      <c r="A112" s="13" t="s">
        <v>23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 t="s">
        <v>24</v>
      </c>
      <c r="M112" s="13"/>
      <c r="N112" s="13" t="s">
        <v>183</v>
      </c>
      <c r="O112" s="13"/>
      <c r="P112" s="14" t="s">
        <v>26</v>
      </c>
      <c r="Q112" s="14"/>
      <c r="R112" s="14"/>
      <c r="S112" s="14" t="s">
        <v>27</v>
      </c>
      <c r="T112" s="14"/>
      <c r="U112" s="14"/>
      <c r="V112" s="14"/>
      <c r="W112" s="15" t="s">
        <v>28</v>
      </c>
      <c r="X112" s="15"/>
    </row>
    <row r="113" spans="1:24" s="1" customFormat="1" ht="12.75" customHeight="1">
      <c r="A113" s="16" t="s">
        <v>29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30</v>
      </c>
      <c r="M113" s="16"/>
      <c r="N113" s="16" t="s">
        <v>31</v>
      </c>
      <c r="O113" s="16"/>
      <c r="P113" s="17" t="s">
        <v>32</v>
      </c>
      <c r="Q113" s="17"/>
      <c r="R113" s="17"/>
      <c r="S113" s="17" t="s">
        <v>33</v>
      </c>
      <c r="T113" s="17"/>
      <c r="U113" s="17"/>
      <c r="V113" s="17"/>
      <c r="W113" s="18" t="s">
        <v>34</v>
      </c>
      <c r="X113" s="18"/>
    </row>
    <row r="114" spans="1:24" s="1" customFormat="1" ht="13.5" customHeight="1">
      <c r="A114" s="19" t="s">
        <v>184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 t="s">
        <v>185</v>
      </c>
      <c r="M114" s="20"/>
      <c r="N114" s="20" t="s">
        <v>37</v>
      </c>
      <c r="O114" s="20"/>
      <c r="P114" s="39">
        <f>8049992.83</f>
        <v>8049992.83</v>
      </c>
      <c r="Q114" s="39"/>
      <c r="R114" s="39"/>
      <c r="S114" s="21">
        <f>4229088.68</f>
        <v>4229088.68</v>
      </c>
      <c r="T114" s="21"/>
      <c r="U114" s="21"/>
      <c r="V114" s="21"/>
      <c r="W114" s="40" t="s">
        <v>37</v>
      </c>
      <c r="X114" s="40"/>
    </row>
    <row r="115" spans="1:24" s="1" customFormat="1" ht="13.5" customHeight="1">
      <c r="A115" s="41" t="s">
        <v>186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2" t="s">
        <v>17</v>
      </c>
      <c r="M115" s="42"/>
      <c r="N115" s="42" t="s">
        <v>17</v>
      </c>
      <c r="O115" s="42"/>
      <c r="P115" s="43" t="s">
        <v>17</v>
      </c>
      <c r="Q115" s="43"/>
      <c r="R115" s="43"/>
      <c r="S115" s="44" t="s">
        <v>17</v>
      </c>
      <c r="T115" s="44"/>
      <c r="U115" s="44"/>
      <c r="V115" s="44"/>
      <c r="W115" s="45" t="s">
        <v>17</v>
      </c>
      <c r="X115" s="45"/>
    </row>
    <row r="116" spans="1:24" s="1" customFormat="1" ht="13.5" customHeight="1">
      <c r="A116" s="23" t="s">
        <v>187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46" t="s">
        <v>188</v>
      </c>
      <c r="M116" s="46"/>
      <c r="N116" s="24" t="s">
        <v>37</v>
      </c>
      <c r="O116" s="24"/>
      <c r="P116" s="47">
        <f>-1000000</f>
        <v>-1000000</v>
      </c>
      <c r="Q116" s="47"/>
      <c r="R116" s="47"/>
      <c r="S116" s="25">
        <f>-500000</f>
        <v>-500000</v>
      </c>
      <c r="T116" s="25"/>
      <c r="U116" s="25"/>
      <c r="V116" s="25"/>
      <c r="W116" s="48">
        <f>-500000</f>
        <v>-500000</v>
      </c>
      <c r="X116" s="48"/>
    </row>
    <row r="117" spans="1:24" s="1" customFormat="1" ht="24" customHeight="1">
      <c r="A117" s="30" t="s">
        <v>189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188</v>
      </c>
      <c r="M117" s="31"/>
      <c r="N117" s="31" t="s">
        <v>190</v>
      </c>
      <c r="O117" s="31"/>
      <c r="P117" s="49">
        <f>-2000000</f>
        <v>-2000000</v>
      </c>
      <c r="Q117" s="49"/>
      <c r="R117" s="49"/>
      <c r="S117" s="32">
        <f>-2000000</f>
        <v>-2000000</v>
      </c>
      <c r="T117" s="32"/>
      <c r="U117" s="32"/>
      <c r="V117" s="32"/>
      <c r="W117" s="50">
        <f>0</f>
        <v>0</v>
      </c>
      <c r="X117" s="50"/>
    </row>
    <row r="118" spans="1:24" s="1" customFormat="1" ht="24" customHeight="1">
      <c r="A118" s="30" t="s">
        <v>191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188</v>
      </c>
      <c r="M118" s="31"/>
      <c r="N118" s="31" t="s">
        <v>192</v>
      </c>
      <c r="O118" s="31"/>
      <c r="P118" s="49">
        <f>1000000</f>
        <v>1000000</v>
      </c>
      <c r="Q118" s="49"/>
      <c r="R118" s="49"/>
      <c r="S118" s="32">
        <f>1500000</f>
        <v>1500000</v>
      </c>
      <c r="T118" s="32"/>
      <c r="U118" s="32"/>
      <c r="V118" s="32"/>
      <c r="W118" s="51" t="s">
        <v>48</v>
      </c>
      <c r="X118" s="51"/>
    </row>
    <row r="119" spans="1:24" s="1" customFormat="1" ht="13.5" customHeight="1">
      <c r="A119" s="30" t="s">
        <v>193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42" t="s">
        <v>194</v>
      </c>
      <c r="M119" s="42"/>
      <c r="N119" s="42" t="s">
        <v>37</v>
      </c>
      <c r="O119" s="42"/>
      <c r="P119" s="43" t="s">
        <v>48</v>
      </c>
      <c r="Q119" s="43"/>
      <c r="R119" s="43"/>
      <c r="S119" s="34" t="s">
        <v>48</v>
      </c>
      <c r="T119" s="34"/>
      <c r="U119" s="34"/>
      <c r="V119" s="34"/>
      <c r="W119" s="45" t="s">
        <v>48</v>
      </c>
      <c r="X119" s="45"/>
    </row>
    <row r="120" spans="1:24" s="1" customFormat="1" ht="13.5" customHeight="1">
      <c r="A120" s="30" t="s">
        <v>17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194</v>
      </c>
      <c r="M120" s="31"/>
      <c r="N120" s="31" t="s">
        <v>17</v>
      </c>
      <c r="O120" s="31"/>
      <c r="P120" s="52" t="s">
        <v>48</v>
      </c>
      <c r="Q120" s="52"/>
      <c r="R120" s="52"/>
      <c r="S120" s="34" t="s">
        <v>48</v>
      </c>
      <c r="T120" s="34"/>
      <c r="U120" s="34"/>
      <c r="V120" s="34"/>
      <c r="W120" s="51" t="s">
        <v>48</v>
      </c>
      <c r="X120" s="51"/>
    </row>
    <row r="121" spans="1:24" s="1" customFormat="1" ht="13.5" customHeight="1">
      <c r="A121" s="30" t="s">
        <v>195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196</v>
      </c>
      <c r="M121" s="31"/>
      <c r="N121" s="31" t="s">
        <v>197</v>
      </c>
      <c r="O121" s="31"/>
      <c r="P121" s="49">
        <f>9049992.83</f>
        <v>9049992.83</v>
      </c>
      <c r="Q121" s="49"/>
      <c r="R121" s="49"/>
      <c r="S121" s="32">
        <f>4729088.68</f>
        <v>4729088.68</v>
      </c>
      <c r="T121" s="32"/>
      <c r="U121" s="32"/>
      <c r="V121" s="32"/>
      <c r="W121" s="50">
        <f>4320904.15</f>
        <v>4320904.15</v>
      </c>
      <c r="X121" s="50"/>
    </row>
    <row r="122" spans="1:24" s="1" customFormat="1" ht="13.5" customHeight="1">
      <c r="A122" s="30" t="s">
        <v>198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199</v>
      </c>
      <c r="M122" s="31"/>
      <c r="N122" s="31" t="s">
        <v>200</v>
      </c>
      <c r="O122" s="31"/>
      <c r="P122" s="49">
        <f>-95422600</f>
        <v>-95422600</v>
      </c>
      <c r="Q122" s="49"/>
      <c r="R122" s="49"/>
      <c r="S122" s="32">
        <f>-29770994.93</f>
        <v>-29770994.93</v>
      </c>
      <c r="T122" s="32"/>
      <c r="U122" s="32"/>
      <c r="V122" s="32"/>
      <c r="W122" s="53" t="s">
        <v>37</v>
      </c>
      <c r="X122" s="53"/>
    </row>
    <row r="123" spans="1:24" s="1" customFormat="1" ht="13.5" customHeight="1">
      <c r="A123" s="30" t="s">
        <v>201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202</v>
      </c>
      <c r="M123" s="31"/>
      <c r="N123" s="31" t="s">
        <v>203</v>
      </c>
      <c r="O123" s="31"/>
      <c r="P123" s="49">
        <f>104472592.83</f>
        <v>104472592.83</v>
      </c>
      <c r="Q123" s="49"/>
      <c r="R123" s="49"/>
      <c r="S123" s="32">
        <f>34500083.61</f>
        <v>34500083.61</v>
      </c>
      <c r="T123" s="32"/>
      <c r="U123" s="32"/>
      <c r="V123" s="32"/>
      <c r="W123" s="53" t="s">
        <v>37</v>
      </c>
      <c r="X123" s="53"/>
    </row>
    <row r="124" spans="1:24" s="1" customFormat="1" ht="13.5" customHeight="1">
      <c r="A124" s="55" t="s">
        <v>17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1:24" s="1" customFormat="1" ht="24" customHeight="1">
      <c r="A125" s="7" t="s">
        <v>204</v>
      </c>
      <c r="B125" s="7"/>
      <c r="C125" s="7"/>
      <c r="D125" s="7"/>
      <c r="E125" s="7"/>
      <c r="F125" s="7"/>
      <c r="G125" s="7"/>
      <c r="H125" s="7"/>
      <c r="I125" s="54" t="s">
        <v>17</v>
      </c>
      <c r="J125" s="54"/>
      <c r="K125" s="54"/>
      <c r="L125" s="54"/>
      <c r="M125" s="54"/>
      <c r="N125" s="54" t="s">
        <v>205</v>
      </c>
      <c r="O125" s="54"/>
      <c r="P125" s="54"/>
      <c r="Q125" s="54"/>
      <c r="R125" s="7" t="s">
        <v>17</v>
      </c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17</v>
      </c>
      <c r="B126" s="7"/>
      <c r="C126" s="7"/>
      <c r="D126" s="7"/>
      <c r="E126" s="7"/>
      <c r="F126" s="7"/>
      <c r="G126" s="7"/>
      <c r="H126" s="7"/>
      <c r="I126" s="10" t="s">
        <v>17</v>
      </c>
      <c r="J126" s="56" t="s">
        <v>206</v>
      </c>
      <c r="K126" s="56"/>
      <c r="L126" s="56"/>
      <c r="M126" s="10" t="s">
        <v>17</v>
      </c>
      <c r="N126" s="10" t="s">
        <v>17</v>
      </c>
      <c r="O126" s="56" t="s">
        <v>207</v>
      </c>
      <c r="P126" s="56"/>
      <c r="Q126" s="7" t="s">
        <v>17</v>
      </c>
      <c r="R126" s="7"/>
      <c r="S126" s="7"/>
      <c r="T126" s="7"/>
      <c r="U126" s="7"/>
      <c r="V126" s="7"/>
      <c r="W126" s="7"/>
      <c r="X126" s="7"/>
    </row>
    <row r="127" spans="1:24" s="1" customFormat="1" ht="7.5" customHeight="1">
      <c r="A127" s="7" t="s">
        <v>17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208</v>
      </c>
      <c r="B128" s="7"/>
      <c r="C128" s="7"/>
      <c r="D128" s="7"/>
      <c r="E128" s="7"/>
      <c r="F128" s="7"/>
      <c r="G128" s="7"/>
      <c r="H128" s="7"/>
      <c r="I128" s="54" t="s">
        <v>17</v>
      </c>
      <c r="J128" s="54"/>
      <c r="K128" s="54"/>
      <c r="L128" s="54"/>
      <c r="M128" s="54"/>
      <c r="N128" s="54" t="s">
        <v>209</v>
      </c>
      <c r="O128" s="54"/>
      <c r="P128" s="54"/>
      <c r="Q128" s="54"/>
      <c r="R128" s="7" t="s">
        <v>17</v>
      </c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17</v>
      </c>
      <c r="B129" s="7"/>
      <c r="C129" s="7"/>
      <c r="D129" s="7"/>
      <c r="E129" s="7"/>
      <c r="F129" s="7"/>
      <c r="G129" s="7"/>
      <c r="H129" s="7"/>
      <c r="I129" s="10" t="s">
        <v>17</v>
      </c>
      <c r="J129" s="56" t="s">
        <v>206</v>
      </c>
      <c r="K129" s="56"/>
      <c r="L129" s="56"/>
      <c r="M129" s="10" t="s">
        <v>17</v>
      </c>
      <c r="N129" s="10" t="s">
        <v>17</v>
      </c>
      <c r="O129" s="56" t="s">
        <v>207</v>
      </c>
      <c r="P129" s="56"/>
      <c r="Q129" s="7" t="s">
        <v>17</v>
      </c>
      <c r="R129" s="7"/>
      <c r="S129" s="7"/>
      <c r="T129" s="7"/>
      <c r="U129" s="7"/>
      <c r="V129" s="7"/>
      <c r="W129" s="7"/>
      <c r="X129" s="7"/>
    </row>
    <row r="130" spans="1:24" s="1" customFormat="1" ht="7.5" customHeight="1">
      <c r="A130" s="7" t="s">
        <v>17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210</v>
      </c>
      <c r="B131" s="7"/>
      <c r="C131" s="54" t="s">
        <v>211</v>
      </c>
      <c r="D131" s="54"/>
      <c r="E131" s="54"/>
      <c r="F131" s="54"/>
      <c r="G131" s="54"/>
      <c r="H131" s="54"/>
      <c r="I131" s="54" t="s">
        <v>17</v>
      </c>
      <c r="J131" s="54"/>
      <c r="K131" s="54"/>
      <c r="L131" s="54"/>
      <c r="M131" s="54"/>
      <c r="N131" s="54" t="s">
        <v>212</v>
      </c>
      <c r="O131" s="54"/>
      <c r="P131" s="54"/>
      <c r="Q131" s="54"/>
      <c r="R131" s="7" t="s">
        <v>17</v>
      </c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17</v>
      </c>
      <c r="B132" s="7"/>
      <c r="C132" s="10" t="s">
        <v>17</v>
      </c>
      <c r="D132" s="56" t="s">
        <v>213</v>
      </c>
      <c r="E132" s="56"/>
      <c r="F132" s="56"/>
      <c r="G132" s="56"/>
      <c r="H132" s="10" t="s">
        <v>17</v>
      </c>
      <c r="I132" s="10" t="s">
        <v>17</v>
      </c>
      <c r="J132" s="56" t="s">
        <v>206</v>
      </c>
      <c r="K132" s="56"/>
      <c r="L132" s="56"/>
      <c r="M132" s="10" t="s">
        <v>17</v>
      </c>
      <c r="N132" s="10" t="s">
        <v>17</v>
      </c>
      <c r="O132" s="56" t="s">
        <v>207</v>
      </c>
      <c r="P132" s="56"/>
      <c r="Q132" s="7" t="s">
        <v>17</v>
      </c>
      <c r="R132" s="7"/>
      <c r="S132" s="7"/>
      <c r="T132" s="7"/>
      <c r="U132" s="7"/>
      <c r="V132" s="7"/>
      <c r="W132" s="7"/>
      <c r="X132" s="7"/>
    </row>
    <row r="133" spans="1:24" s="1" customFormat="1" ht="15.75" customHeight="1">
      <c r="A133" s="7" t="s">
        <v>17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57" t="s">
        <v>214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7" t="s">
        <v>17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4" t="s">
        <v>215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</sheetData>
  <sheetProtection/>
  <mergeCells count="713">
    <mergeCell ref="A134:J134"/>
    <mergeCell ref="K134:X134"/>
    <mergeCell ref="A135:X135"/>
    <mergeCell ref="A132:B132"/>
    <mergeCell ref="D132:G132"/>
    <mergeCell ref="J132:L132"/>
    <mergeCell ref="O132:P132"/>
    <mergeCell ref="Q132:X132"/>
    <mergeCell ref="A133:X133"/>
    <mergeCell ref="A130:X130"/>
    <mergeCell ref="A131:B131"/>
    <mergeCell ref="C131:H131"/>
    <mergeCell ref="I131:M131"/>
    <mergeCell ref="N131:Q131"/>
    <mergeCell ref="R131:X131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24:X124"/>
    <mergeCell ref="A125:H125"/>
    <mergeCell ref="I125:M125"/>
    <mergeCell ref="N125:Q125"/>
    <mergeCell ref="R125:X125"/>
    <mergeCell ref="A126:H126"/>
    <mergeCell ref="J126:L126"/>
    <mergeCell ref="O126:P126"/>
    <mergeCell ref="Q126:X126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0:X110"/>
    <mergeCell ref="A111:X111"/>
    <mergeCell ref="A112:K112"/>
    <mergeCell ref="L112:M112"/>
    <mergeCell ref="N112:O112"/>
    <mergeCell ref="P112:R112"/>
    <mergeCell ref="S112:V112"/>
    <mergeCell ref="W112:X112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2:X42"/>
    <mergeCell ref="A43:X43"/>
    <mergeCell ref="A44:K44"/>
    <mergeCell ref="L44:M44"/>
    <mergeCell ref="N44:O44"/>
    <mergeCell ref="P44:R44"/>
    <mergeCell ref="S44:V44"/>
    <mergeCell ref="W44:X44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2023-05-03T11:58:48Z</dcterms:created>
  <dcterms:modified xsi:type="dcterms:W3CDTF">2023-05-03T11:58:48Z</dcterms:modified>
  <cp:category/>
  <cp:version/>
  <cp:contentType/>
  <cp:contentStatus/>
</cp:coreProperties>
</file>