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<sst xmlns="http://schemas.openxmlformats.org/spreadsheetml/2006/main" count="468" uniqueCount="210">
  <si>
    <t>ОТЧЕТ ОБ ИСПОЛНЕНИИ БЮДЖЕТА</t>
  </si>
  <si>
    <t>КОДЫ</t>
  </si>
  <si>
    <t xml:space="preserve">Форма по ОКУД </t>
  </si>
  <si>
    <t>0503117</t>
  </si>
  <si>
    <t>на 1 сентября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</si>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</sst>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42614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44809900</f>
        <v>44809900</v>
      </c>
      <c r="Q12" s="21"/>
      <c r="R12" s="21"/>
      <c r="S12" s="21">
        <f>28959851.66</f>
        <v>28959851.66</v>
      </c>
      <c r="T12" s="21"/>
      <c r="U12" s="21"/>
      <c r="V12" s="21"/>
      <c r="W12" s="22">
        <f>15850048.34</f>
        <v>15850048.34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1076023.12</f>
        <v>1076023.12</v>
      </c>
      <c r="T13" s="25"/>
      <c r="U13" s="25"/>
      <c r="V13" s="25"/>
      <c r="W13" s="26">
        <f>-1026023.12</f>
        <v>-1026023.12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17502.88</f>
        <v>17502.88</v>
      </c>
      <c r="T14" s="25"/>
      <c r="U14" s="25"/>
      <c r="V14" s="25"/>
      <c r="W14" s="26">
        <f>52497.12</f>
        <v>52497.12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2268025.24</f>
        <v>2268025.24</v>
      </c>
      <c r="T15" s="25"/>
      <c r="U15" s="25"/>
      <c r="V15" s="25"/>
      <c r="W15" s="26">
        <f>1844074.76</f>
        <v>1844074.76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-156334.14</f>
        <v>-156334.14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60000</f>
        <v>60000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9450000</f>
        <v>9450000</v>
      </c>
      <c r="Q18" s="25"/>
      <c r="R18" s="25"/>
      <c r="S18" s="25">
        <f>6962337.16</f>
        <v>6962337.16</v>
      </c>
      <c r="T18" s="25"/>
      <c r="U18" s="25"/>
      <c r="V18" s="25"/>
      <c r="W18" s="26">
        <f>2487662.84</f>
        <v>2487662.84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20000</f>
        <v>20000</v>
      </c>
      <c r="Q19" s="25"/>
      <c r="R19" s="25"/>
      <c r="S19" s="25">
        <f>146664.05</f>
        <v>146664.05</v>
      </c>
      <c r="T19" s="25"/>
      <c r="U19" s="25"/>
      <c r="V19" s="25"/>
      <c r="W19" s="26">
        <f>-126664.05</f>
        <v>-126664.05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700000</f>
        <v>700000</v>
      </c>
      <c r="Q20" s="25"/>
      <c r="R20" s="25"/>
      <c r="S20" s="25">
        <f>44795.61</f>
        <v>44795.61</v>
      </c>
      <c r="T20" s="25"/>
      <c r="U20" s="25"/>
      <c r="V20" s="25"/>
      <c r="W20" s="26">
        <f>655204.39</f>
        <v>655204.39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86838.3</f>
        <v>86838.3</v>
      </c>
      <c r="T21" s="25"/>
      <c r="U21" s="25"/>
      <c r="V21" s="25"/>
      <c r="W21" s="26">
        <f>-56838.3</f>
        <v>-56838.3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493000</f>
        <v>493000</v>
      </c>
      <c r="Q22" s="25"/>
      <c r="R22" s="25"/>
      <c r="S22" s="25">
        <f>706766.97</f>
        <v>706766.97</v>
      </c>
      <c r="T22" s="25"/>
      <c r="U22" s="25"/>
      <c r="V22" s="25"/>
      <c r="W22" s="26">
        <f>-213766.97</f>
        <v>-213766.97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1590000</f>
        <v>1590000</v>
      </c>
      <c r="Q23" s="25"/>
      <c r="R23" s="25"/>
      <c r="S23" s="25">
        <f>170095.74</f>
        <v>170095.74</v>
      </c>
      <c r="T23" s="25"/>
      <c r="U23" s="25"/>
      <c r="V23" s="25"/>
      <c r="W23" s="26">
        <f>1419904.26</f>
        <v>1419904.26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3000000</f>
        <v>3000000</v>
      </c>
      <c r="Q24" s="25"/>
      <c r="R24" s="25"/>
      <c r="S24" s="25">
        <f>2047967.79</f>
        <v>2047967.79</v>
      </c>
      <c r="T24" s="25"/>
      <c r="U24" s="25"/>
      <c r="V24" s="25"/>
      <c r="W24" s="26">
        <f>952032.21</f>
        <v>952032.21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6500000</f>
        <v>6500000</v>
      </c>
      <c r="Q25" s="25"/>
      <c r="R25" s="25"/>
      <c r="S25" s="25">
        <f>958920.03</f>
        <v>958920.03</v>
      </c>
      <c r="T25" s="25"/>
      <c r="U25" s="25"/>
      <c r="V25" s="25"/>
      <c r="W25" s="26">
        <f>5541079.97</f>
        <v>5541079.97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1100</f>
        <v>1100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149582.3</f>
        <v>149582.3</v>
      </c>
      <c r="T27" s="25"/>
      <c r="U27" s="25"/>
      <c r="V27" s="25"/>
      <c r="W27" s="26">
        <f>106517.7</f>
        <v>106517.7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89295.28</f>
        <v>89295.28</v>
      </c>
      <c r="T28" s="25"/>
      <c r="U28" s="25"/>
      <c r="V28" s="25"/>
      <c r="W28" s="26">
        <f>44604.72</f>
        <v>44604.72</v>
      </c>
      <c r="X28" s="26"/>
    </row>
    <row r="29" spans="1:24" s="1" customFormat="1" ht="54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322655.08</f>
        <v>322655.08</v>
      </c>
      <c r="T29" s="25"/>
      <c r="U29" s="25"/>
      <c r="V29" s="25"/>
      <c r="W29" s="26">
        <f>0</f>
        <v>0</v>
      </c>
      <c r="X29" s="26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12805.18</f>
        <v>12805.18</v>
      </c>
      <c r="T30" s="25"/>
      <c r="U30" s="25"/>
      <c r="V30" s="25"/>
      <c r="W30" s="26">
        <f>0</f>
        <v>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10454700</f>
        <v>10454700</v>
      </c>
      <c r="Q31" s="25"/>
      <c r="R31" s="25"/>
      <c r="S31" s="25">
        <f>7153931</f>
        <v>7153931</v>
      </c>
      <c r="T31" s="25"/>
      <c r="U31" s="25"/>
      <c r="V31" s="25"/>
      <c r="W31" s="26">
        <f>3300769</f>
        <v>3300769</v>
      </c>
      <c r="X31" s="26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3061700</f>
        <v>3061700</v>
      </c>
      <c r="Q32" s="25"/>
      <c r="R32" s="25"/>
      <c r="S32" s="25">
        <f>2111000</f>
        <v>2111000</v>
      </c>
      <c r="T32" s="25"/>
      <c r="U32" s="25"/>
      <c r="V32" s="25"/>
      <c r="W32" s="26">
        <f>950700</f>
        <v>950700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380800</f>
        <v>380800</v>
      </c>
      <c r="Q33" s="25"/>
      <c r="R33" s="25"/>
      <c r="S33" s="25">
        <f>229880.07</f>
        <v>229880.07</v>
      </c>
      <c r="T33" s="25"/>
      <c r="U33" s="25"/>
      <c r="V33" s="25"/>
      <c r="W33" s="26">
        <f>150919.93</f>
        <v>150919.93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4500000</f>
        <v>4500000</v>
      </c>
      <c r="Q35" s="25"/>
      <c r="R35" s="25"/>
      <c r="S35" s="25">
        <f>4500000</f>
        <v>4500000</v>
      </c>
      <c r="T35" s="25"/>
      <c r="U35" s="25"/>
      <c r="V35" s="25"/>
      <c r="W35" s="26">
        <f>0</f>
        <v>0</v>
      </c>
      <c r="X35" s="26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46141451.44</f>
        <v>46141451.44</v>
      </c>
      <c r="Q40" s="21"/>
      <c r="R40" s="21"/>
      <c r="S40" s="21">
        <f>28718252.93</f>
        <v>28718252.93</v>
      </c>
      <c r="T40" s="21"/>
      <c r="U40" s="21"/>
      <c r="V40" s="21"/>
      <c r="W40" s="22">
        <f>17423198.51</f>
        <v>17423198.51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485400</f>
        <v>485400</v>
      </c>
      <c r="Q41" s="31"/>
      <c r="R41" s="31"/>
      <c r="S41" s="31">
        <f>325132.61</f>
        <v>325132.61</v>
      </c>
      <c r="T41" s="31"/>
      <c r="U41" s="31"/>
      <c r="V41" s="31"/>
      <c r="W41" s="32">
        <f>160267.39</f>
        <v>160267.39</v>
      </c>
      <c r="X41" s="32"/>
    </row>
    <row r="42" spans="1:24" s="1" customFormat="1" ht="33.7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146600</f>
        <v>146600</v>
      </c>
      <c r="Q42" s="31"/>
      <c r="R42" s="31"/>
      <c r="S42" s="31">
        <f>100189.67</f>
        <v>100189.67</v>
      </c>
      <c r="T42" s="31"/>
      <c r="U42" s="31"/>
      <c r="V42" s="31"/>
      <c r="W42" s="32">
        <f>46410.33</f>
        <v>46410.33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2938800</f>
        <v>2938800</v>
      </c>
      <c r="Q43" s="31"/>
      <c r="R43" s="31"/>
      <c r="S43" s="31">
        <f>1667950.75</f>
        <v>1667950.75</v>
      </c>
      <c r="T43" s="31"/>
      <c r="U43" s="31"/>
      <c r="V43" s="31"/>
      <c r="W43" s="32">
        <f>1270849.25</f>
        <v>1270849.25</v>
      </c>
      <c r="X43" s="32"/>
    </row>
    <row r="44" spans="1:24" s="1" customFormat="1" ht="33.7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887500</f>
        <v>887500</v>
      </c>
      <c r="Q44" s="31"/>
      <c r="R44" s="31"/>
      <c r="S44" s="31">
        <f>674445.15</f>
        <v>674445.15</v>
      </c>
      <c r="T44" s="31"/>
      <c r="U44" s="31"/>
      <c r="V44" s="31"/>
      <c r="W44" s="32">
        <f>213054.85</f>
        <v>213054.85</v>
      </c>
      <c r="X44" s="32"/>
    </row>
    <row r="45" spans="1:24" s="1" customFormat="1" ht="24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1188200</f>
        <v>1188200</v>
      </c>
      <c r="Q45" s="31"/>
      <c r="R45" s="31"/>
      <c r="S45" s="31">
        <f>362180</f>
        <v>362180</v>
      </c>
      <c r="T45" s="31"/>
      <c r="U45" s="31"/>
      <c r="V45" s="31"/>
      <c r="W45" s="32">
        <f>826020</f>
        <v>826020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250000</f>
        <v>250000</v>
      </c>
      <c r="Q46" s="31"/>
      <c r="R46" s="31"/>
      <c r="S46" s="31">
        <f>76369.96</f>
        <v>76369.96</v>
      </c>
      <c r="T46" s="31"/>
      <c r="U46" s="31"/>
      <c r="V46" s="31"/>
      <c r="W46" s="32">
        <f>173630.04</f>
        <v>173630.04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50000</f>
        <v>50000</v>
      </c>
      <c r="Q47" s="31"/>
      <c r="R47" s="31"/>
      <c r="S47" s="31">
        <f>2535</f>
        <v>2535</v>
      </c>
      <c r="T47" s="31"/>
      <c r="U47" s="31"/>
      <c r="V47" s="31"/>
      <c r="W47" s="32">
        <f>47465</f>
        <v>47465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1">
        <f>900</f>
        <v>900</v>
      </c>
      <c r="Q48" s="31"/>
      <c r="R48" s="31"/>
      <c r="S48" s="31">
        <f>839.63</f>
        <v>839.63</v>
      </c>
      <c r="T48" s="31"/>
      <c r="U48" s="31"/>
      <c r="V48" s="31"/>
      <c r="W48" s="32">
        <f>60.37</f>
        <v>60.37</v>
      </c>
      <c r="X48" s="32"/>
    </row>
    <row r="49" spans="1:24" s="1" customFormat="1" ht="24" customHeight="1">
      <c r="A49" s="29" t="s">
        <v>95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103</v>
      </c>
      <c r="O49" s="30"/>
      <c r="P49" s="31">
        <f>7600</f>
        <v>7600</v>
      </c>
      <c r="Q49" s="31"/>
      <c r="R49" s="31"/>
      <c r="S49" s="33" t="s">
        <v>46</v>
      </c>
      <c r="T49" s="33"/>
      <c r="U49" s="33"/>
      <c r="V49" s="33"/>
      <c r="W49" s="32">
        <f>7600</f>
        <v>7600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105</v>
      </c>
      <c r="O50" s="30"/>
      <c r="P50" s="31">
        <f>180900</f>
        <v>180900</v>
      </c>
      <c r="Q50" s="31"/>
      <c r="R50" s="31"/>
      <c r="S50" s="31">
        <f>135675</f>
        <v>135675</v>
      </c>
      <c r="T50" s="31"/>
      <c r="U50" s="31"/>
      <c r="V50" s="31"/>
      <c r="W50" s="32">
        <f>45225</f>
        <v>45225</v>
      </c>
      <c r="X50" s="32"/>
    </row>
    <row r="51" spans="1:24" s="1" customFormat="1" ht="13.5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550000</f>
        <v>550000</v>
      </c>
      <c r="Q51" s="31"/>
      <c r="R51" s="31"/>
      <c r="S51" s="31">
        <f>550000</f>
        <v>550000</v>
      </c>
      <c r="T51" s="31"/>
      <c r="U51" s="31"/>
      <c r="V51" s="31"/>
      <c r="W51" s="32">
        <f>0</f>
        <v>0</v>
      </c>
      <c r="X51" s="32"/>
    </row>
    <row r="52" spans="1:24" s="1" customFormat="1" ht="13.5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109</v>
      </c>
      <c r="O52" s="30"/>
      <c r="P52" s="31">
        <f>40000</f>
        <v>40000</v>
      </c>
      <c r="Q52" s="31"/>
      <c r="R52" s="31"/>
      <c r="S52" s="33" t="s">
        <v>46</v>
      </c>
      <c r="T52" s="33"/>
      <c r="U52" s="33"/>
      <c r="V52" s="33"/>
      <c r="W52" s="32">
        <f>40000</f>
        <v>40000</v>
      </c>
      <c r="X52" s="32"/>
    </row>
    <row r="53" spans="1:24" s="1" customFormat="1" ht="24" customHeight="1">
      <c r="A53" s="29" t="s">
        <v>95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110</v>
      </c>
      <c r="O53" s="30"/>
      <c r="P53" s="31">
        <f>72500</f>
        <v>72500</v>
      </c>
      <c r="Q53" s="31"/>
      <c r="R53" s="31"/>
      <c r="S53" s="31">
        <f>72499.98</f>
        <v>72499.98</v>
      </c>
      <c r="T53" s="31"/>
      <c r="U53" s="31"/>
      <c r="V53" s="31"/>
      <c r="W53" s="32">
        <f>0.02</f>
        <v>0.02</v>
      </c>
      <c r="X53" s="32"/>
    </row>
    <row r="54" spans="1:24" s="1" customFormat="1" ht="33.75" customHeight="1">
      <c r="A54" s="29" t="s">
        <v>111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112</v>
      </c>
      <c r="O54" s="30"/>
      <c r="P54" s="31">
        <f>86500</f>
        <v>86500</v>
      </c>
      <c r="Q54" s="31"/>
      <c r="R54" s="31"/>
      <c r="S54" s="31">
        <f>53600</f>
        <v>53600</v>
      </c>
      <c r="T54" s="31"/>
      <c r="U54" s="31"/>
      <c r="V54" s="31"/>
      <c r="W54" s="32">
        <f>32900</f>
        <v>32900</v>
      </c>
      <c r="X54" s="32"/>
    </row>
    <row r="55" spans="1:24" s="1" customFormat="1" ht="24" customHeight="1">
      <c r="A55" s="29" t="s">
        <v>95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113</v>
      </c>
      <c r="O55" s="30"/>
      <c r="P55" s="31">
        <f>0</f>
        <v>0</v>
      </c>
      <c r="Q55" s="31"/>
      <c r="R55" s="31"/>
      <c r="S55" s="33" t="s">
        <v>46</v>
      </c>
      <c r="T55" s="33"/>
      <c r="U55" s="33"/>
      <c r="V55" s="33"/>
      <c r="W55" s="32">
        <f>0</f>
        <v>0</v>
      </c>
      <c r="X55" s="32"/>
    </row>
    <row r="56" spans="1:24" s="1" customFormat="1" ht="13.5" customHeight="1">
      <c r="A56" s="29" t="s">
        <v>114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115</v>
      </c>
      <c r="O56" s="30"/>
      <c r="P56" s="31">
        <f>0</f>
        <v>0</v>
      </c>
      <c r="Q56" s="31"/>
      <c r="R56" s="31"/>
      <c r="S56" s="31">
        <f>0</f>
        <v>0</v>
      </c>
      <c r="T56" s="31"/>
      <c r="U56" s="31"/>
      <c r="V56" s="31"/>
      <c r="W56" s="32">
        <f>0</f>
        <v>0</v>
      </c>
      <c r="X56" s="32"/>
    </row>
    <row r="57" spans="1:24" s="1" customFormat="1" ht="24" customHeight="1">
      <c r="A57" s="29" t="s">
        <v>95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116</v>
      </c>
      <c r="O57" s="30"/>
      <c r="P57" s="31">
        <f>1000</f>
        <v>1000</v>
      </c>
      <c r="Q57" s="31"/>
      <c r="R57" s="31"/>
      <c r="S57" s="33" t="s">
        <v>46</v>
      </c>
      <c r="T57" s="33"/>
      <c r="U57" s="33"/>
      <c r="V57" s="33"/>
      <c r="W57" s="32">
        <f>1000</f>
        <v>1000</v>
      </c>
      <c r="X57" s="32"/>
    </row>
    <row r="58" spans="1:24" s="1" customFormat="1" ht="13.5" customHeight="1">
      <c r="A58" s="29" t="s">
        <v>117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118</v>
      </c>
      <c r="O58" s="30"/>
      <c r="P58" s="31">
        <f>3339500</f>
        <v>3339500</v>
      </c>
      <c r="Q58" s="31"/>
      <c r="R58" s="31"/>
      <c r="S58" s="31">
        <f>2274206.39</f>
        <v>2274206.39</v>
      </c>
      <c r="T58" s="31"/>
      <c r="U58" s="31"/>
      <c r="V58" s="31"/>
      <c r="W58" s="32">
        <f>1065293.61</f>
        <v>1065293.61</v>
      </c>
      <c r="X58" s="32"/>
    </row>
    <row r="59" spans="1:24" s="1" customFormat="1" ht="24" customHeight="1">
      <c r="A59" s="29" t="s">
        <v>119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120</v>
      </c>
      <c r="O59" s="30"/>
      <c r="P59" s="31">
        <f>1008600</f>
        <v>1008600</v>
      </c>
      <c r="Q59" s="31"/>
      <c r="R59" s="31"/>
      <c r="S59" s="31">
        <f>841356.5</f>
        <v>841356.5</v>
      </c>
      <c r="T59" s="31"/>
      <c r="U59" s="31"/>
      <c r="V59" s="31"/>
      <c r="W59" s="32">
        <f>167243.5</f>
        <v>167243.5</v>
      </c>
      <c r="X59" s="32"/>
    </row>
    <row r="60" spans="1:24" s="1" customFormat="1" ht="24" customHeight="1">
      <c r="A60" s="29" t="s">
        <v>95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121</v>
      </c>
      <c r="O60" s="30"/>
      <c r="P60" s="31">
        <f>2552100</f>
        <v>2552100</v>
      </c>
      <c r="Q60" s="31"/>
      <c r="R60" s="31"/>
      <c r="S60" s="31">
        <f>1463366.35</f>
        <v>1463366.35</v>
      </c>
      <c r="T60" s="31"/>
      <c r="U60" s="31"/>
      <c r="V60" s="31"/>
      <c r="W60" s="32">
        <f>1088733.65</f>
        <v>1088733.65</v>
      </c>
      <c r="X60" s="32"/>
    </row>
    <row r="61" spans="1:24" s="1" customFormat="1" ht="13.5" customHeight="1">
      <c r="A61" s="29" t="s">
        <v>97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122</v>
      </c>
      <c r="O61" s="30"/>
      <c r="P61" s="31">
        <f>120000</f>
        <v>120000</v>
      </c>
      <c r="Q61" s="31"/>
      <c r="R61" s="31"/>
      <c r="S61" s="31">
        <f>44053.79</f>
        <v>44053.79</v>
      </c>
      <c r="T61" s="31"/>
      <c r="U61" s="31"/>
      <c r="V61" s="31"/>
      <c r="W61" s="32">
        <f>75946.21</f>
        <v>75946.21</v>
      </c>
      <c r="X61" s="32"/>
    </row>
    <row r="62" spans="1:24" s="1" customFormat="1" ht="13.5" customHeight="1">
      <c r="A62" s="29" t="s">
        <v>99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123</v>
      </c>
      <c r="O62" s="30"/>
      <c r="P62" s="31">
        <f>25000</f>
        <v>25000</v>
      </c>
      <c r="Q62" s="31"/>
      <c r="R62" s="31"/>
      <c r="S62" s="31">
        <f>6707</f>
        <v>6707</v>
      </c>
      <c r="T62" s="31"/>
      <c r="U62" s="31"/>
      <c r="V62" s="31"/>
      <c r="W62" s="32">
        <f>18293</f>
        <v>18293</v>
      </c>
      <c r="X62" s="32"/>
    </row>
    <row r="63" spans="1:24" s="1" customFormat="1" ht="24" customHeight="1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124</v>
      </c>
      <c r="O63" s="30"/>
      <c r="P63" s="31">
        <f>30000</f>
        <v>30000</v>
      </c>
      <c r="Q63" s="31"/>
      <c r="R63" s="31"/>
      <c r="S63" s="33" t="s">
        <v>46</v>
      </c>
      <c r="T63" s="33"/>
      <c r="U63" s="33"/>
      <c r="V63" s="33"/>
      <c r="W63" s="32">
        <f>30000</f>
        <v>30000</v>
      </c>
      <c r="X63" s="32"/>
    </row>
    <row r="64" spans="1:24" s="1" customFormat="1" ht="13.5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125</v>
      </c>
      <c r="O64" s="30"/>
      <c r="P64" s="31">
        <f>292500</f>
        <v>292500</v>
      </c>
      <c r="Q64" s="31"/>
      <c r="R64" s="31"/>
      <c r="S64" s="31">
        <f>177543.68</f>
        <v>177543.68</v>
      </c>
      <c r="T64" s="31"/>
      <c r="U64" s="31"/>
      <c r="V64" s="31"/>
      <c r="W64" s="32">
        <f>114956.32</f>
        <v>114956.32</v>
      </c>
      <c r="X64" s="32"/>
    </row>
    <row r="65" spans="1:24" s="1" customFormat="1" ht="33.75" customHeight="1">
      <c r="A65" s="29" t="s">
        <v>91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126</v>
      </c>
      <c r="O65" s="30"/>
      <c r="P65" s="31">
        <f>88300</f>
        <v>88300</v>
      </c>
      <c r="Q65" s="31"/>
      <c r="R65" s="31"/>
      <c r="S65" s="31">
        <f>52336.39</f>
        <v>52336.39</v>
      </c>
      <c r="T65" s="31"/>
      <c r="U65" s="31"/>
      <c r="V65" s="31"/>
      <c r="W65" s="32">
        <f>35963.61</f>
        <v>35963.61</v>
      </c>
      <c r="X65" s="32"/>
    </row>
    <row r="66" spans="1:24" s="1" customFormat="1" ht="24" customHeight="1">
      <c r="A66" s="29" t="s">
        <v>95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127</v>
      </c>
      <c r="O66" s="30"/>
      <c r="P66" s="31">
        <f>24000</f>
        <v>24000</v>
      </c>
      <c r="Q66" s="31"/>
      <c r="R66" s="31"/>
      <c r="S66" s="33" t="s">
        <v>46</v>
      </c>
      <c r="T66" s="33"/>
      <c r="U66" s="33"/>
      <c r="V66" s="33"/>
      <c r="W66" s="32">
        <f>24000</f>
        <v>24000</v>
      </c>
      <c r="X66" s="32"/>
    </row>
    <row r="67" spans="1:24" s="1" customFormat="1" ht="24" customHeight="1">
      <c r="A67" s="29" t="s">
        <v>95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128</v>
      </c>
      <c r="O67" s="30"/>
      <c r="P67" s="31">
        <f>5000</f>
        <v>5000</v>
      </c>
      <c r="Q67" s="31"/>
      <c r="R67" s="31"/>
      <c r="S67" s="33" t="s">
        <v>46</v>
      </c>
      <c r="T67" s="33"/>
      <c r="U67" s="33"/>
      <c r="V67" s="33"/>
      <c r="W67" s="32">
        <f>5000</f>
        <v>5000</v>
      </c>
      <c r="X67" s="32"/>
    </row>
    <row r="68" spans="1:24" s="1" customFormat="1" ht="24" customHeight="1">
      <c r="A68" s="29" t="s">
        <v>95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129</v>
      </c>
      <c r="O68" s="30"/>
      <c r="P68" s="31">
        <f>1000</f>
        <v>1000</v>
      </c>
      <c r="Q68" s="31"/>
      <c r="R68" s="31"/>
      <c r="S68" s="33" t="s">
        <v>46</v>
      </c>
      <c r="T68" s="33"/>
      <c r="U68" s="33"/>
      <c r="V68" s="33"/>
      <c r="W68" s="32">
        <f>1000</f>
        <v>1000</v>
      </c>
      <c r="X68" s="32"/>
    </row>
    <row r="69" spans="1:24" s="1" customFormat="1" ht="24" customHeight="1">
      <c r="A69" s="29" t="s">
        <v>95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130</v>
      </c>
      <c r="O69" s="30"/>
      <c r="P69" s="31">
        <f>4000</f>
        <v>4000</v>
      </c>
      <c r="Q69" s="31"/>
      <c r="R69" s="31"/>
      <c r="S69" s="33" t="s">
        <v>46</v>
      </c>
      <c r="T69" s="33"/>
      <c r="U69" s="33"/>
      <c r="V69" s="33"/>
      <c r="W69" s="32">
        <f>4000</f>
        <v>4000</v>
      </c>
      <c r="X69" s="32"/>
    </row>
    <row r="70" spans="1:24" s="1" customFormat="1" ht="24" customHeight="1">
      <c r="A70" s="29" t="s">
        <v>95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131</v>
      </c>
      <c r="O70" s="30"/>
      <c r="P70" s="31">
        <f>1000</f>
        <v>1000</v>
      </c>
      <c r="Q70" s="31"/>
      <c r="R70" s="31"/>
      <c r="S70" s="33" t="s">
        <v>46</v>
      </c>
      <c r="T70" s="33"/>
      <c r="U70" s="33"/>
      <c r="V70" s="33"/>
      <c r="W70" s="32">
        <f>1000</f>
        <v>1000</v>
      </c>
      <c r="X70" s="32"/>
    </row>
    <row r="71" spans="1:24" s="1" customFormat="1" ht="24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132</v>
      </c>
      <c r="O71" s="30"/>
      <c r="P71" s="31">
        <f>3000</f>
        <v>3000</v>
      </c>
      <c r="Q71" s="31"/>
      <c r="R71" s="31"/>
      <c r="S71" s="33" t="s">
        <v>46</v>
      </c>
      <c r="T71" s="33"/>
      <c r="U71" s="33"/>
      <c r="V71" s="33"/>
      <c r="W71" s="32">
        <f>3000</f>
        <v>3000</v>
      </c>
      <c r="X71" s="32"/>
    </row>
    <row r="72" spans="1:24" s="1" customFormat="1" ht="24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133</v>
      </c>
      <c r="O72" s="30"/>
      <c r="P72" s="31">
        <f>4000</f>
        <v>4000</v>
      </c>
      <c r="Q72" s="31"/>
      <c r="R72" s="31"/>
      <c r="S72" s="33" t="s">
        <v>46</v>
      </c>
      <c r="T72" s="33"/>
      <c r="U72" s="33"/>
      <c r="V72" s="33"/>
      <c r="W72" s="32">
        <f>4000</f>
        <v>4000</v>
      </c>
      <c r="X72" s="32"/>
    </row>
    <row r="73" spans="1:24" s="1" customFormat="1" ht="24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134</v>
      </c>
      <c r="O73" s="30"/>
      <c r="P73" s="31">
        <f>43000</f>
        <v>43000</v>
      </c>
      <c r="Q73" s="31"/>
      <c r="R73" s="31"/>
      <c r="S73" s="31">
        <f>40200</f>
        <v>40200</v>
      </c>
      <c r="T73" s="31"/>
      <c r="U73" s="31"/>
      <c r="V73" s="31"/>
      <c r="W73" s="32">
        <f>2800</f>
        <v>2800</v>
      </c>
      <c r="X73" s="32"/>
    </row>
    <row r="74" spans="1:24" s="1" customFormat="1" ht="13.5" customHeight="1">
      <c r="A74" s="29" t="s">
        <v>104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135</v>
      </c>
      <c r="O74" s="30"/>
      <c r="P74" s="31">
        <f>1496100</f>
        <v>1496100</v>
      </c>
      <c r="Q74" s="31"/>
      <c r="R74" s="31"/>
      <c r="S74" s="31">
        <f>1122075</f>
        <v>1122075</v>
      </c>
      <c r="T74" s="31"/>
      <c r="U74" s="31"/>
      <c r="V74" s="31"/>
      <c r="W74" s="32">
        <f>374025</f>
        <v>374025</v>
      </c>
      <c r="X74" s="32"/>
    </row>
    <row r="75" spans="1:24" s="1" customFormat="1" ht="24" customHeight="1">
      <c r="A75" s="29" t="s">
        <v>95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136</v>
      </c>
      <c r="O75" s="30"/>
      <c r="P75" s="31">
        <f>600000</f>
        <v>600000</v>
      </c>
      <c r="Q75" s="31"/>
      <c r="R75" s="31"/>
      <c r="S75" s="31">
        <f>60000</f>
        <v>60000</v>
      </c>
      <c r="T75" s="31"/>
      <c r="U75" s="31"/>
      <c r="V75" s="31"/>
      <c r="W75" s="32">
        <f>540000</f>
        <v>540000</v>
      </c>
      <c r="X75" s="32"/>
    </row>
    <row r="76" spans="1:24" s="1" customFormat="1" ht="24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137</v>
      </c>
      <c r="O76" s="30"/>
      <c r="P76" s="31">
        <f>2830100</f>
        <v>2830100</v>
      </c>
      <c r="Q76" s="31"/>
      <c r="R76" s="31"/>
      <c r="S76" s="31">
        <f>1896730.69</f>
        <v>1896730.69</v>
      </c>
      <c r="T76" s="31"/>
      <c r="U76" s="31"/>
      <c r="V76" s="31"/>
      <c r="W76" s="32">
        <f>933369.31</f>
        <v>933369.31</v>
      </c>
      <c r="X76" s="32"/>
    </row>
    <row r="77" spans="1:24" s="1" customFormat="1" ht="24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138</v>
      </c>
      <c r="O77" s="30"/>
      <c r="P77" s="31">
        <f>990000</f>
        <v>990000</v>
      </c>
      <c r="Q77" s="31"/>
      <c r="R77" s="31"/>
      <c r="S77" s="31">
        <f>240988</f>
        <v>240988</v>
      </c>
      <c r="T77" s="31"/>
      <c r="U77" s="31"/>
      <c r="V77" s="31"/>
      <c r="W77" s="32">
        <f>749012</f>
        <v>749012</v>
      </c>
      <c r="X77" s="32"/>
    </row>
    <row r="78" spans="1:24" s="1" customFormat="1" ht="45" customHeight="1">
      <c r="A78" s="29" t="s">
        <v>139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140</v>
      </c>
      <c r="O78" s="30"/>
      <c r="P78" s="31">
        <f>0</f>
        <v>0</v>
      </c>
      <c r="Q78" s="31"/>
      <c r="R78" s="31"/>
      <c r="S78" s="33" t="s">
        <v>46</v>
      </c>
      <c r="T78" s="33"/>
      <c r="U78" s="33"/>
      <c r="V78" s="33"/>
      <c r="W78" s="32">
        <f>0</f>
        <v>0</v>
      </c>
      <c r="X78" s="32"/>
    </row>
    <row r="79" spans="1:24" s="1" customFormat="1" ht="13.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141</v>
      </c>
      <c r="O79" s="30"/>
      <c r="P79" s="31">
        <f>10000</f>
        <v>10000</v>
      </c>
      <c r="Q79" s="31"/>
      <c r="R79" s="31"/>
      <c r="S79" s="31">
        <f>10000</f>
        <v>10000</v>
      </c>
      <c r="T79" s="31"/>
      <c r="U79" s="31"/>
      <c r="V79" s="31"/>
      <c r="W79" s="32">
        <f>0</f>
        <v>0</v>
      </c>
      <c r="X79" s="32"/>
    </row>
    <row r="80" spans="1:24" s="1" customFormat="1" ht="24" customHeight="1">
      <c r="A80" s="29" t="s">
        <v>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142</v>
      </c>
      <c r="O80" s="30"/>
      <c r="P80" s="31">
        <f>2000</f>
        <v>2000</v>
      </c>
      <c r="Q80" s="31"/>
      <c r="R80" s="31"/>
      <c r="S80" s="33" t="s">
        <v>46</v>
      </c>
      <c r="T80" s="33"/>
      <c r="U80" s="33"/>
      <c r="V80" s="33"/>
      <c r="W80" s="32">
        <f>2000</f>
        <v>2000</v>
      </c>
      <c r="X80" s="32"/>
    </row>
    <row r="81" spans="1:24" s="1" customFormat="1" ht="24" customHeight="1">
      <c r="A81" s="29" t="s">
        <v>95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143</v>
      </c>
      <c r="O81" s="30"/>
      <c r="P81" s="31">
        <f>1100000</f>
        <v>1100000</v>
      </c>
      <c r="Q81" s="31"/>
      <c r="R81" s="31"/>
      <c r="S81" s="31">
        <f>1100000</f>
        <v>1100000</v>
      </c>
      <c r="T81" s="31"/>
      <c r="U81" s="31"/>
      <c r="V81" s="31"/>
      <c r="W81" s="32">
        <f>0</f>
        <v>0</v>
      </c>
      <c r="X81" s="32"/>
    </row>
    <row r="82" spans="1:24" s="1" customFormat="1" ht="24" customHeight="1">
      <c r="A82" s="29" t="s">
        <v>95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144</v>
      </c>
      <c r="O82" s="30"/>
      <c r="P82" s="31">
        <f>3000000</f>
        <v>3000000</v>
      </c>
      <c r="Q82" s="31"/>
      <c r="R82" s="31"/>
      <c r="S82" s="31">
        <f>2950844.77</f>
        <v>2950844.77</v>
      </c>
      <c r="T82" s="31"/>
      <c r="U82" s="31"/>
      <c r="V82" s="31"/>
      <c r="W82" s="32">
        <f>49155.23</f>
        <v>49155.23</v>
      </c>
      <c r="X82" s="32"/>
    </row>
    <row r="83" spans="1:24" s="1" customFormat="1" ht="24" customHeight="1">
      <c r="A83" s="29" t="s">
        <v>95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145</v>
      </c>
      <c r="O83" s="30"/>
      <c r="P83" s="31">
        <f>300000</f>
        <v>300000</v>
      </c>
      <c r="Q83" s="31"/>
      <c r="R83" s="31"/>
      <c r="S83" s="31">
        <f>129820.28</f>
        <v>129820.28</v>
      </c>
      <c r="T83" s="31"/>
      <c r="U83" s="31"/>
      <c r="V83" s="31"/>
      <c r="W83" s="32">
        <f>170179.72</f>
        <v>170179.72</v>
      </c>
      <c r="X83" s="32"/>
    </row>
    <row r="84" spans="1:24" s="1" customFormat="1" ht="24" customHeight="1">
      <c r="A84" s="29" t="s">
        <v>95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146</v>
      </c>
      <c r="O84" s="30"/>
      <c r="P84" s="31">
        <f>10000</f>
        <v>10000</v>
      </c>
      <c r="Q84" s="31"/>
      <c r="R84" s="31"/>
      <c r="S84" s="33" t="s">
        <v>46</v>
      </c>
      <c r="T84" s="33"/>
      <c r="U84" s="33"/>
      <c r="V84" s="33"/>
      <c r="W84" s="32">
        <f>10000</f>
        <v>10000</v>
      </c>
      <c r="X84" s="32"/>
    </row>
    <row r="85" spans="1:24" s="1" customFormat="1" ht="24" customHeight="1">
      <c r="A85" s="29" t="s">
        <v>95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147</v>
      </c>
      <c r="O85" s="30"/>
      <c r="P85" s="31">
        <f>250000</f>
        <v>250000</v>
      </c>
      <c r="Q85" s="31"/>
      <c r="R85" s="31"/>
      <c r="S85" s="31">
        <f>134894.2</f>
        <v>134894.2</v>
      </c>
      <c r="T85" s="31"/>
      <c r="U85" s="31"/>
      <c r="V85" s="31"/>
      <c r="W85" s="32">
        <f>115105.8</f>
        <v>115105.8</v>
      </c>
      <c r="X85" s="32"/>
    </row>
    <row r="86" spans="1:24" s="1" customFormat="1" ht="24" customHeight="1">
      <c r="A86" s="29" t="s">
        <v>95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148</v>
      </c>
      <c r="O86" s="30"/>
      <c r="P86" s="31">
        <f>750000</f>
        <v>750000</v>
      </c>
      <c r="Q86" s="31"/>
      <c r="R86" s="31"/>
      <c r="S86" s="31">
        <f>9322.47</f>
        <v>9322.47</v>
      </c>
      <c r="T86" s="31"/>
      <c r="U86" s="31"/>
      <c r="V86" s="31"/>
      <c r="W86" s="32">
        <f>740677.53</f>
        <v>740677.53</v>
      </c>
      <c r="X86" s="32"/>
    </row>
    <row r="87" spans="1:24" s="1" customFormat="1" ht="24" customHeight="1">
      <c r="A87" s="29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149</v>
      </c>
      <c r="O87" s="30"/>
      <c r="P87" s="31">
        <f>500000</f>
        <v>500000</v>
      </c>
      <c r="Q87" s="31"/>
      <c r="R87" s="31"/>
      <c r="S87" s="33" t="s">
        <v>46</v>
      </c>
      <c r="T87" s="33"/>
      <c r="U87" s="33"/>
      <c r="V87" s="33"/>
      <c r="W87" s="32">
        <f>500000</f>
        <v>500000</v>
      </c>
      <c r="X87" s="32"/>
    </row>
    <row r="88" spans="1:24" s="1" customFormat="1" ht="33.75" customHeight="1">
      <c r="A88" s="29" t="s">
        <v>150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151</v>
      </c>
      <c r="O88" s="30"/>
      <c r="P88" s="31">
        <f>0</f>
        <v>0</v>
      </c>
      <c r="Q88" s="31"/>
      <c r="R88" s="31"/>
      <c r="S88" s="33" t="s">
        <v>46</v>
      </c>
      <c r="T88" s="33"/>
      <c r="U88" s="33"/>
      <c r="V88" s="33"/>
      <c r="W88" s="32">
        <f>0</f>
        <v>0</v>
      </c>
      <c r="X88" s="32"/>
    </row>
    <row r="89" spans="1:24" s="1" customFormat="1" ht="24" customHeight="1">
      <c r="A89" s="29" t="s">
        <v>95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152</v>
      </c>
      <c r="O89" s="30"/>
      <c r="P89" s="31">
        <f>500000</f>
        <v>500000</v>
      </c>
      <c r="Q89" s="31"/>
      <c r="R89" s="31"/>
      <c r="S89" s="31">
        <f>499999.63</f>
        <v>499999.63</v>
      </c>
      <c r="T89" s="31"/>
      <c r="U89" s="31"/>
      <c r="V89" s="31"/>
      <c r="W89" s="32">
        <f>0.37</f>
        <v>0.37</v>
      </c>
      <c r="X89" s="32"/>
    </row>
    <row r="90" spans="1:24" s="1" customFormat="1" ht="24" customHeight="1">
      <c r="A90" s="29" t="s">
        <v>95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153</v>
      </c>
      <c r="O90" s="30"/>
      <c r="P90" s="31">
        <f>1890000</f>
        <v>1890000</v>
      </c>
      <c r="Q90" s="31"/>
      <c r="R90" s="31"/>
      <c r="S90" s="31">
        <f>1531366.98</f>
        <v>1531366.98</v>
      </c>
      <c r="T90" s="31"/>
      <c r="U90" s="31"/>
      <c r="V90" s="31"/>
      <c r="W90" s="32">
        <f>358633.02</f>
        <v>358633.02</v>
      </c>
      <c r="X90" s="32"/>
    </row>
    <row r="91" spans="1:24" s="1" customFormat="1" ht="24" customHeight="1">
      <c r="A91" s="29" t="s">
        <v>95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154</v>
      </c>
      <c r="O91" s="30"/>
      <c r="P91" s="31">
        <f>500000</f>
        <v>500000</v>
      </c>
      <c r="Q91" s="31"/>
      <c r="R91" s="31"/>
      <c r="S91" s="31">
        <f>312958.42</f>
        <v>312958.42</v>
      </c>
      <c r="T91" s="31"/>
      <c r="U91" s="31"/>
      <c r="V91" s="31"/>
      <c r="W91" s="32">
        <f>187041.58</f>
        <v>187041.58</v>
      </c>
      <c r="X91" s="32"/>
    </row>
    <row r="92" spans="1:24" s="1" customFormat="1" ht="24" customHeight="1">
      <c r="A92" s="29" t="s">
        <v>95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155</v>
      </c>
      <c r="O92" s="30"/>
      <c r="P92" s="31">
        <f>110000</f>
        <v>110000</v>
      </c>
      <c r="Q92" s="31"/>
      <c r="R92" s="31"/>
      <c r="S92" s="31">
        <f>106250</f>
        <v>106250</v>
      </c>
      <c r="T92" s="31"/>
      <c r="U92" s="31"/>
      <c r="V92" s="31"/>
      <c r="W92" s="32">
        <f>3750</f>
        <v>3750</v>
      </c>
      <c r="X92" s="32"/>
    </row>
    <row r="93" spans="1:24" s="1" customFormat="1" ht="24" customHeight="1">
      <c r="A93" s="29" t="s">
        <v>95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156</v>
      </c>
      <c r="O93" s="30"/>
      <c r="P93" s="31">
        <f>3575551.44</f>
        <v>3575551.44</v>
      </c>
      <c r="Q93" s="31"/>
      <c r="R93" s="31"/>
      <c r="S93" s="31">
        <f>2469416.97</f>
        <v>2469416.97</v>
      </c>
      <c r="T93" s="31"/>
      <c r="U93" s="31"/>
      <c r="V93" s="31"/>
      <c r="W93" s="32">
        <f>1106134.47</f>
        <v>1106134.47</v>
      </c>
      <c r="X93" s="32"/>
    </row>
    <row r="94" spans="1:24" s="1" customFormat="1" ht="24" customHeight="1">
      <c r="A94" s="29" t="s">
        <v>95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157</v>
      </c>
      <c r="O94" s="30"/>
      <c r="P94" s="31">
        <f>1000000</f>
        <v>1000000</v>
      </c>
      <c r="Q94" s="31"/>
      <c r="R94" s="31"/>
      <c r="S94" s="31">
        <f>286936</f>
        <v>286936</v>
      </c>
      <c r="T94" s="31"/>
      <c r="U94" s="31"/>
      <c r="V94" s="31"/>
      <c r="W94" s="32">
        <f>713064</f>
        <v>713064</v>
      </c>
      <c r="X94" s="32"/>
    </row>
    <row r="95" spans="1:24" s="1" customFormat="1" ht="24" customHeight="1">
      <c r="A95" s="29" t="s">
        <v>95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158</v>
      </c>
      <c r="O95" s="30"/>
      <c r="P95" s="31">
        <f>70000</f>
        <v>70000</v>
      </c>
      <c r="Q95" s="31"/>
      <c r="R95" s="31"/>
      <c r="S95" s="31">
        <f>51947.48</f>
        <v>51947.48</v>
      </c>
      <c r="T95" s="31"/>
      <c r="U95" s="31"/>
      <c r="V95" s="31"/>
      <c r="W95" s="32">
        <f>18052.52</f>
        <v>18052.52</v>
      </c>
      <c r="X95" s="32"/>
    </row>
    <row r="96" spans="1:24" s="1" customFormat="1" ht="24" customHeight="1">
      <c r="A96" s="29" t="s">
        <v>95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159</v>
      </c>
      <c r="O96" s="30"/>
      <c r="P96" s="31">
        <f>50000</f>
        <v>50000</v>
      </c>
      <c r="Q96" s="31"/>
      <c r="R96" s="31"/>
      <c r="S96" s="31">
        <f>25938.2</f>
        <v>25938.2</v>
      </c>
      <c r="T96" s="31"/>
      <c r="U96" s="31"/>
      <c r="V96" s="31"/>
      <c r="W96" s="32">
        <f>24061.8</f>
        <v>24061.8</v>
      </c>
      <c r="X96" s="32"/>
    </row>
    <row r="97" spans="1:24" s="1" customFormat="1" ht="33.75" customHeight="1">
      <c r="A97" s="29" t="s">
        <v>160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161</v>
      </c>
      <c r="O97" s="30"/>
      <c r="P97" s="31">
        <f>1961700</f>
        <v>1961700</v>
      </c>
      <c r="Q97" s="31"/>
      <c r="R97" s="31"/>
      <c r="S97" s="31">
        <f>1011000</f>
        <v>1011000</v>
      </c>
      <c r="T97" s="31"/>
      <c r="U97" s="31"/>
      <c r="V97" s="31"/>
      <c r="W97" s="32">
        <f>950700</f>
        <v>950700</v>
      </c>
      <c r="X97" s="32"/>
    </row>
    <row r="98" spans="1:24" s="1" customFormat="1" ht="33.75" customHeight="1">
      <c r="A98" s="29" t="s">
        <v>160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162</v>
      </c>
      <c r="O98" s="30"/>
      <c r="P98" s="31">
        <f>720000</f>
        <v>720000</v>
      </c>
      <c r="Q98" s="31"/>
      <c r="R98" s="31"/>
      <c r="S98" s="31">
        <f>360000</f>
        <v>360000</v>
      </c>
      <c r="T98" s="31"/>
      <c r="U98" s="31"/>
      <c r="V98" s="31"/>
      <c r="W98" s="32">
        <f>360000</f>
        <v>360000</v>
      </c>
      <c r="X98" s="32"/>
    </row>
    <row r="99" spans="1:24" s="1" customFormat="1" ht="33.75" customHeight="1">
      <c r="A99" s="29" t="s">
        <v>160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163</v>
      </c>
      <c r="O99" s="30"/>
      <c r="P99" s="31">
        <f>0</f>
        <v>0</v>
      </c>
      <c r="Q99" s="31"/>
      <c r="R99" s="31"/>
      <c r="S99" s="33" t="s">
        <v>46</v>
      </c>
      <c r="T99" s="33"/>
      <c r="U99" s="33"/>
      <c r="V99" s="33"/>
      <c r="W99" s="32">
        <f>0</f>
        <v>0</v>
      </c>
      <c r="X99" s="32"/>
    </row>
    <row r="100" spans="1:24" s="1" customFormat="1" ht="33.75" customHeight="1">
      <c r="A100" s="29" t="s">
        <v>160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164</v>
      </c>
      <c r="O100" s="30"/>
      <c r="P100" s="31">
        <f>0</f>
        <v>0</v>
      </c>
      <c r="Q100" s="31"/>
      <c r="R100" s="31"/>
      <c r="S100" s="33" t="s">
        <v>46</v>
      </c>
      <c r="T100" s="33"/>
      <c r="U100" s="33"/>
      <c r="V100" s="33"/>
      <c r="W100" s="32">
        <f>0</f>
        <v>0</v>
      </c>
      <c r="X100" s="32"/>
    </row>
    <row r="101" spans="1:24" s="1" customFormat="1" ht="33.75" customHeight="1">
      <c r="A101" s="29" t="s">
        <v>160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165</v>
      </c>
      <c r="O101" s="30"/>
      <c r="P101" s="31">
        <f>6928900</f>
        <v>6928900</v>
      </c>
      <c r="Q101" s="31"/>
      <c r="R101" s="31"/>
      <c r="S101" s="31">
        <f>4082160</f>
        <v>4082160</v>
      </c>
      <c r="T101" s="31"/>
      <c r="U101" s="31"/>
      <c r="V101" s="31"/>
      <c r="W101" s="32">
        <f>2846740</f>
        <v>2846740</v>
      </c>
      <c r="X101" s="32"/>
    </row>
    <row r="102" spans="1:24" s="1" customFormat="1" ht="33.75" customHeight="1">
      <c r="A102" s="29" t="s">
        <v>160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166</v>
      </c>
      <c r="O102" s="30"/>
      <c r="P102" s="31">
        <f>45000</f>
        <v>45000</v>
      </c>
      <c r="Q102" s="31"/>
      <c r="R102" s="31"/>
      <c r="S102" s="33" t="s">
        <v>46</v>
      </c>
      <c r="T102" s="33"/>
      <c r="U102" s="33"/>
      <c r="V102" s="33"/>
      <c r="W102" s="32">
        <f>45000</f>
        <v>45000</v>
      </c>
      <c r="X102" s="32"/>
    </row>
    <row r="103" spans="1:24" s="1" customFormat="1" ht="24" customHeight="1">
      <c r="A103" s="29" t="s">
        <v>95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167</v>
      </c>
      <c r="O103" s="30"/>
      <c r="P103" s="31">
        <f>188000</f>
        <v>188000</v>
      </c>
      <c r="Q103" s="31"/>
      <c r="R103" s="31"/>
      <c r="S103" s="31">
        <f>90800</f>
        <v>90800</v>
      </c>
      <c r="T103" s="31"/>
      <c r="U103" s="31"/>
      <c r="V103" s="31"/>
      <c r="W103" s="32">
        <f>97200</f>
        <v>97200</v>
      </c>
      <c r="X103" s="32"/>
    </row>
    <row r="104" spans="1:24" s="1" customFormat="1" ht="24" customHeight="1">
      <c r="A104" s="29" t="s">
        <v>95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168</v>
      </c>
      <c r="O104" s="30"/>
      <c r="P104" s="31">
        <f>200000</f>
        <v>200000</v>
      </c>
      <c r="Q104" s="31"/>
      <c r="R104" s="31"/>
      <c r="S104" s="33" t="s">
        <v>46</v>
      </c>
      <c r="T104" s="33"/>
      <c r="U104" s="33"/>
      <c r="V104" s="33"/>
      <c r="W104" s="32">
        <f>200000</f>
        <v>200000</v>
      </c>
      <c r="X104" s="32"/>
    </row>
    <row r="105" spans="1:24" s="1" customFormat="1" ht="24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169</v>
      </c>
      <c r="O105" s="30"/>
      <c r="P105" s="31">
        <f>100000</f>
        <v>100000</v>
      </c>
      <c r="Q105" s="31"/>
      <c r="R105" s="31"/>
      <c r="S105" s="33" t="s">
        <v>46</v>
      </c>
      <c r="T105" s="33"/>
      <c r="U105" s="33"/>
      <c r="V105" s="33"/>
      <c r="W105" s="32">
        <f>100000</f>
        <v>100000</v>
      </c>
      <c r="X105" s="32"/>
    </row>
    <row r="106" spans="1:24" s="1" customFormat="1" ht="24" customHeight="1">
      <c r="A106" s="29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170</v>
      </c>
      <c r="O106" s="30"/>
      <c r="P106" s="31">
        <f>112000</f>
        <v>112000</v>
      </c>
      <c r="Q106" s="31"/>
      <c r="R106" s="31"/>
      <c r="S106" s="31">
        <f>111125</f>
        <v>111125</v>
      </c>
      <c r="T106" s="31"/>
      <c r="U106" s="31"/>
      <c r="V106" s="31"/>
      <c r="W106" s="32">
        <f>875</f>
        <v>875</v>
      </c>
      <c r="X106" s="32"/>
    </row>
    <row r="107" spans="1:24" s="1" customFormat="1" ht="13.5" customHeight="1">
      <c r="A107" s="29" t="s">
        <v>171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172</v>
      </c>
      <c r="O107" s="30"/>
      <c r="P107" s="31">
        <f>125000</f>
        <v>125000</v>
      </c>
      <c r="Q107" s="31"/>
      <c r="R107" s="31"/>
      <c r="S107" s="31">
        <f>84048.82</f>
        <v>84048.82</v>
      </c>
      <c r="T107" s="31"/>
      <c r="U107" s="31"/>
      <c r="V107" s="31"/>
      <c r="W107" s="32">
        <f>40951.18</f>
        <v>40951.18</v>
      </c>
      <c r="X107" s="32"/>
    </row>
    <row r="108" spans="1:24" s="1" customFormat="1" ht="24" customHeight="1">
      <c r="A108" s="29" t="s">
        <v>173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174</v>
      </c>
      <c r="O108" s="30"/>
      <c r="P108" s="33" t="s">
        <v>46</v>
      </c>
      <c r="Q108" s="33"/>
      <c r="R108" s="33"/>
      <c r="S108" s="31">
        <f>0</f>
        <v>0</v>
      </c>
      <c r="T108" s="31"/>
      <c r="U108" s="31"/>
      <c r="V108" s="31"/>
      <c r="W108" s="32">
        <f>0</f>
        <v>0</v>
      </c>
      <c r="X108" s="32"/>
    </row>
    <row r="109" spans="1:24" s="1" customFormat="1" ht="33.75" customHeight="1">
      <c r="A109" s="29" t="s">
        <v>160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175</v>
      </c>
      <c r="O109" s="30"/>
      <c r="P109" s="31">
        <f>1300000</f>
        <v>1300000</v>
      </c>
      <c r="Q109" s="31"/>
      <c r="R109" s="31"/>
      <c r="S109" s="31">
        <f>929360</f>
        <v>929360</v>
      </c>
      <c r="T109" s="31"/>
      <c r="U109" s="31"/>
      <c r="V109" s="31"/>
      <c r="W109" s="32">
        <f>370640</f>
        <v>370640</v>
      </c>
      <c r="X109" s="32"/>
    </row>
    <row r="110" spans="1:24" s="1" customFormat="1" ht="24" customHeight="1">
      <c r="A110" s="29" t="s">
        <v>95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176</v>
      </c>
      <c r="O110" s="30"/>
      <c r="P110" s="31">
        <f>500000</f>
        <v>500000</v>
      </c>
      <c r="Q110" s="31"/>
      <c r="R110" s="31"/>
      <c r="S110" s="31">
        <f>189035</f>
        <v>189035</v>
      </c>
      <c r="T110" s="31"/>
      <c r="U110" s="31"/>
      <c r="V110" s="31"/>
      <c r="W110" s="32">
        <f>310965</f>
        <v>310965</v>
      </c>
      <c r="X110" s="32"/>
    </row>
    <row r="111" spans="1:24" s="1" customFormat="1" ht="13.5" customHeight="1">
      <c r="A111" s="29" t="s">
        <v>177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178</v>
      </c>
      <c r="O111" s="30"/>
      <c r="P111" s="31">
        <f>200</f>
        <v>200</v>
      </c>
      <c r="Q111" s="31"/>
      <c r="R111" s="31"/>
      <c r="S111" s="31">
        <f>47.17</f>
        <v>47.17</v>
      </c>
      <c r="T111" s="31"/>
      <c r="U111" s="31"/>
      <c r="V111" s="31"/>
      <c r="W111" s="32">
        <f>152.83</f>
        <v>152.83</v>
      </c>
      <c r="X111" s="32"/>
    </row>
    <row r="112" spans="1:24" s="1" customFormat="1" ht="15" customHeight="1">
      <c r="A112" s="34" t="s">
        <v>179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5" t="s">
        <v>180</v>
      </c>
      <c r="M112" s="35"/>
      <c r="N112" s="35" t="s">
        <v>37</v>
      </c>
      <c r="O112" s="35"/>
      <c r="P112" s="36">
        <f>-1331551.44</f>
        <v>-1331551.44</v>
      </c>
      <c r="Q112" s="36"/>
      <c r="R112" s="36"/>
      <c r="S112" s="36">
        <f>241598.73</f>
        <v>241598.73</v>
      </c>
      <c r="T112" s="36"/>
      <c r="U112" s="36"/>
      <c r="V112" s="36"/>
      <c r="W112" s="37" t="s">
        <v>37</v>
      </c>
      <c r="X112" s="3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s="1" customFormat="1" ht="13.5" customHeight="1">
      <c r="A114" s="12" t="s">
        <v>181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45.75" customHeight="1">
      <c r="A115" s="13" t="s">
        <v>23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 t="s">
        <v>24</v>
      </c>
      <c r="M115" s="13"/>
      <c r="N115" s="13" t="s">
        <v>182</v>
      </c>
      <c r="O115" s="13"/>
      <c r="P115" s="14" t="s">
        <v>26</v>
      </c>
      <c r="Q115" s="14"/>
      <c r="R115" s="14"/>
      <c r="S115" s="14" t="s">
        <v>27</v>
      </c>
      <c r="T115" s="14"/>
      <c r="U115" s="14"/>
      <c r="V115" s="14"/>
      <c r="W115" s="15" t="s">
        <v>28</v>
      </c>
      <c r="X115" s="15"/>
    </row>
    <row r="116" spans="1:24" s="1" customFormat="1" ht="12.75" customHeight="1">
      <c r="A116" s="16" t="s">
        <v>29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 t="s">
        <v>30</v>
      </c>
      <c r="M116" s="16"/>
      <c r="N116" s="16" t="s">
        <v>31</v>
      </c>
      <c r="O116" s="16"/>
      <c r="P116" s="17" t="s">
        <v>32</v>
      </c>
      <c r="Q116" s="17"/>
      <c r="R116" s="17"/>
      <c r="S116" s="17" t="s">
        <v>33</v>
      </c>
      <c r="T116" s="17"/>
      <c r="U116" s="17"/>
      <c r="V116" s="17"/>
      <c r="W116" s="18" t="s">
        <v>34</v>
      </c>
      <c r="X116" s="18"/>
    </row>
    <row r="117" spans="1:24" s="1" customFormat="1" ht="13.5" customHeight="1">
      <c r="A117" s="19" t="s">
        <v>183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184</v>
      </c>
      <c r="M117" s="20"/>
      <c r="N117" s="20" t="s">
        <v>37</v>
      </c>
      <c r="O117" s="20"/>
      <c r="P117" s="38">
        <f>1331551.44</f>
        <v>1331551.44</v>
      </c>
      <c r="Q117" s="38"/>
      <c r="R117" s="38"/>
      <c r="S117" s="21">
        <f>-241598.73</f>
        <v>-241598.73</v>
      </c>
      <c r="T117" s="21"/>
      <c r="U117" s="21"/>
      <c r="V117" s="21"/>
      <c r="W117" s="39">
        <f>1573150.17</f>
        <v>1573150.17</v>
      </c>
      <c r="X117" s="39"/>
    </row>
    <row r="118" spans="1:24" s="1" customFormat="1" ht="13.5" customHeight="1">
      <c r="A118" s="40" t="s">
        <v>185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1" t="s">
        <v>13</v>
      </c>
      <c r="M118" s="41"/>
      <c r="N118" s="41" t="s">
        <v>13</v>
      </c>
      <c r="O118" s="41"/>
      <c r="P118" s="42" t="s">
        <v>13</v>
      </c>
      <c r="Q118" s="42"/>
      <c r="R118" s="42"/>
      <c r="S118" s="43" t="s">
        <v>13</v>
      </c>
      <c r="T118" s="43"/>
      <c r="U118" s="43"/>
      <c r="V118" s="43"/>
      <c r="W118" s="44" t="s">
        <v>13</v>
      </c>
      <c r="X118" s="44"/>
    </row>
    <row r="119" spans="1:24" s="1" customFormat="1" ht="13.5" customHeight="1">
      <c r="A119" s="23" t="s">
        <v>186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45" t="s">
        <v>187</v>
      </c>
      <c r="M119" s="45"/>
      <c r="N119" s="24" t="s">
        <v>37</v>
      </c>
      <c r="O119" s="24"/>
      <c r="P119" s="46">
        <f>-104000</f>
        <v>-104000</v>
      </c>
      <c r="Q119" s="46"/>
      <c r="R119" s="46"/>
      <c r="S119" s="25">
        <f>-104000</f>
        <v>-104000</v>
      </c>
      <c r="T119" s="25"/>
      <c r="U119" s="25"/>
      <c r="V119" s="25"/>
      <c r="W119" s="47">
        <f>0</f>
        <v>0</v>
      </c>
      <c r="X119" s="47"/>
    </row>
    <row r="120" spans="1:24" s="1" customFormat="1" ht="24" customHeight="1">
      <c r="A120" s="29" t="s">
        <v>188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187</v>
      </c>
      <c r="M120" s="30"/>
      <c r="N120" s="30" t="s">
        <v>189</v>
      </c>
      <c r="O120" s="30"/>
      <c r="P120" s="48">
        <f>-104000</f>
        <v>-104000</v>
      </c>
      <c r="Q120" s="48"/>
      <c r="R120" s="48"/>
      <c r="S120" s="31">
        <f>-104000</f>
        <v>-104000</v>
      </c>
      <c r="T120" s="31"/>
      <c r="U120" s="31"/>
      <c r="V120" s="31"/>
      <c r="W120" s="49">
        <f>0</f>
        <v>0</v>
      </c>
      <c r="X120" s="49"/>
    </row>
    <row r="121" spans="1:24" s="1" customFormat="1" ht="0.75" customHeight="1">
      <c r="A121" s="50" t="s">
        <v>13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s="1" customFormat="1" ht="13.5" customHeight="1">
      <c r="A122" s="29" t="s">
        <v>190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41" t="s">
        <v>191</v>
      </c>
      <c r="M122" s="41"/>
      <c r="N122" s="41" t="s">
        <v>37</v>
      </c>
      <c r="O122" s="41"/>
      <c r="P122" s="42" t="s">
        <v>46</v>
      </c>
      <c r="Q122" s="42"/>
      <c r="R122" s="42"/>
      <c r="S122" s="33" t="s">
        <v>46</v>
      </c>
      <c r="T122" s="33"/>
      <c r="U122" s="33"/>
      <c r="V122" s="33"/>
      <c r="W122" s="44" t="s">
        <v>46</v>
      </c>
      <c r="X122" s="44"/>
    </row>
    <row r="123" spans="1:24" s="1" customFormat="1" ht="13.5" customHeight="1">
      <c r="A123" s="29" t="s">
        <v>13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191</v>
      </c>
      <c r="M123" s="30"/>
      <c r="N123" s="30" t="s">
        <v>13</v>
      </c>
      <c r="O123" s="30"/>
      <c r="P123" s="51" t="s">
        <v>46</v>
      </c>
      <c r="Q123" s="51"/>
      <c r="R123" s="51"/>
      <c r="S123" s="33" t="s">
        <v>46</v>
      </c>
      <c r="T123" s="33"/>
      <c r="U123" s="33"/>
      <c r="V123" s="33"/>
      <c r="W123" s="52" t="s">
        <v>46</v>
      </c>
      <c r="X123" s="52"/>
    </row>
    <row r="124" spans="1:24" s="1" customFormat="1" ht="13.5" customHeight="1">
      <c r="A124" s="29" t="s">
        <v>192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193</v>
      </c>
      <c r="M124" s="30"/>
      <c r="N124" s="30" t="s">
        <v>194</v>
      </c>
      <c r="O124" s="30"/>
      <c r="P124" s="48">
        <f>1435551.44</f>
        <v>1435551.44</v>
      </c>
      <c r="Q124" s="48"/>
      <c r="R124" s="48"/>
      <c r="S124" s="31">
        <f>-137598.73</f>
        <v>-137598.73</v>
      </c>
      <c r="T124" s="31"/>
      <c r="U124" s="31"/>
      <c r="V124" s="31"/>
      <c r="W124" s="49">
        <f>1573150.17</f>
        <v>1573150.17</v>
      </c>
      <c r="X124" s="49"/>
    </row>
    <row r="125" spans="1:24" s="1" customFormat="1" ht="13.5" customHeight="1">
      <c r="A125" s="29" t="s">
        <v>195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196</v>
      </c>
      <c r="M125" s="30"/>
      <c r="N125" s="30" t="s">
        <v>197</v>
      </c>
      <c r="O125" s="30"/>
      <c r="P125" s="48">
        <f>-44809900</f>
        <v>-44809900</v>
      </c>
      <c r="Q125" s="48"/>
      <c r="R125" s="48"/>
      <c r="S125" s="31">
        <f>-31254018.25</f>
        <v>-31254018.25</v>
      </c>
      <c r="T125" s="31"/>
      <c r="U125" s="31"/>
      <c r="V125" s="31"/>
      <c r="W125" s="53" t="s">
        <v>37</v>
      </c>
      <c r="X125" s="53"/>
    </row>
    <row r="126" spans="1:24" s="1" customFormat="1" ht="13.5" customHeight="1">
      <c r="A126" s="29" t="s">
        <v>198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199</v>
      </c>
      <c r="M126" s="30"/>
      <c r="N126" s="30" t="s">
        <v>200</v>
      </c>
      <c r="O126" s="30"/>
      <c r="P126" s="48">
        <f>46245451.44</f>
        <v>46245451.44</v>
      </c>
      <c r="Q126" s="48"/>
      <c r="R126" s="48"/>
      <c r="S126" s="31">
        <f>31116419.52</f>
        <v>31116419.52</v>
      </c>
      <c r="T126" s="31"/>
      <c r="U126" s="31"/>
      <c r="V126" s="31"/>
      <c r="W126" s="53" t="s">
        <v>37</v>
      </c>
      <c r="X126" s="53"/>
    </row>
    <row r="127" spans="1:24" s="1" customFormat="1" ht="13.5" customHeight="1">
      <c r="A127" s="55" t="s">
        <v>13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 s="1" customFormat="1" ht="13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54" t="s">
        <v>13</v>
      </c>
      <c r="J128" s="54"/>
      <c r="K128" s="54"/>
      <c r="L128" s="54"/>
      <c r="M128" s="54"/>
      <c r="N128" s="54" t="s">
        <v>201</v>
      </c>
      <c r="O128" s="54"/>
      <c r="P128" s="54"/>
      <c r="Q128" s="54"/>
      <c r="R128" s="7" t="s">
        <v>13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10" t="s">
        <v>13</v>
      </c>
      <c r="J129" s="56" t="s">
        <v>202</v>
      </c>
      <c r="K129" s="56"/>
      <c r="L129" s="56"/>
      <c r="M129" s="10" t="s">
        <v>13</v>
      </c>
      <c r="N129" s="10" t="s">
        <v>13</v>
      </c>
      <c r="O129" s="56" t="s">
        <v>203</v>
      </c>
      <c r="P129" s="56"/>
      <c r="Q129" s="7" t="s">
        <v>13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13</v>
      </c>
      <c r="B131" s="7"/>
      <c r="C131" s="7"/>
      <c r="D131" s="7"/>
      <c r="E131" s="7"/>
      <c r="F131" s="7"/>
      <c r="G131" s="7"/>
      <c r="H131" s="7"/>
      <c r="I131" s="54" t="s">
        <v>13</v>
      </c>
      <c r="J131" s="54"/>
      <c r="K131" s="54"/>
      <c r="L131" s="54"/>
      <c r="M131" s="54"/>
      <c r="N131" s="54" t="s">
        <v>204</v>
      </c>
      <c r="O131" s="54"/>
      <c r="P131" s="54"/>
      <c r="Q131" s="54"/>
      <c r="R131" s="7" t="s">
        <v>13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10" t="s">
        <v>13</v>
      </c>
      <c r="J132" s="56" t="s">
        <v>202</v>
      </c>
      <c r="K132" s="56"/>
      <c r="L132" s="56"/>
      <c r="M132" s="10" t="s">
        <v>13</v>
      </c>
      <c r="N132" s="10" t="s">
        <v>13</v>
      </c>
      <c r="O132" s="56" t="s">
        <v>203</v>
      </c>
      <c r="P132" s="56"/>
      <c r="Q132" s="7" t="s">
        <v>13</v>
      </c>
      <c r="R132" s="7"/>
      <c r="S132" s="7"/>
      <c r="T132" s="7"/>
      <c r="U132" s="7"/>
      <c r="V132" s="7"/>
      <c r="W132" s="7"/>
      <c r="X132" s="7"/>
    </row>
    <row r="133" spans="1:24" s="1" customFormat="1" ht="7.5" customHeight="1">
      <c r="A133" s="7" t="s">
        <v>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205</v>
      </c>
      <c r="B134" s="7"/>
      <c r="C134" s="54" t="s">
        <v>13</v>
      </c>
      <c r="D134" s="54"/>
      <c r="E134" s="54"/>
      <c r="F134" s="54"/>
      <c r="G134" s="54"/>
      <c r="H134" s="54"/>
      <c r="I134" s="54" t="s">
        <v>13</v>
      </c>
      <c r="J134" s="54"/>
      <c r="K134" s="54"/>
      <c r="L134" s="54"/>
      <c r="M134" s="54"/>
      <c r="N134" s="54" t="s">
        <v>206</v>
      </c>
      <c r="O134" s="54"/>
      <c r="P134" s="54"/>
      <c r="Q134" s="54"/>
      <c r="R134" s="7" t="s">
        <v>13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13</v>
      </c>
      <c r="B135" s="7"/>
      <c r="C135" s="10" t="s">
        <v>13</v>
      </c>
      <c r="D135" s="56" t="s">
        <v>207</v>
      </c>
      <c r="E135" s="56"/>
      <c r="F135" s="56"/>
      <c r="G135" s="56"/>
      <c r="H135" s="10" t="s">
        <v>13</v>
      </c>
      <c r="I135" s="10" t="s">
        <v>13</v>
      </c>
      <c r="J135" s="56" t="s">
        <v>202</v>
      </c>
      <c r="K135" s="56"/>
      <c r="L135" s="56"/>
      <c r="M135" s="10" t="s">
        <v>13</v>
      </c>
      <c r="N135" s="10" t="s">
        <v>13</v>
      </c>
      <c r="O135" s="56" t="s">
        <v>203</v>
      </c>
      <c r="P135" s="56"/>
      <c r="Q135" s="7" t="s">
        <v>13</v>
      </c>
      <c r="R135" s="7"/>
      <c r="S135" s="7"/>
      <c r="T135" s="7"/>
      <c r="U135" s="7"/>
      <c r="V135" s="7"/>
      <c r="W135" s="7"/>
      <c r="X135" s="7"/>
    </row>
    <row r="136" spans="1:24" s="1" customFormat="1" ht="15.75" customHeight="1">
      <c r="A136" s="7" t="s">
        <v>13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57" t="s">
        <v>208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7" t="s">
        <v>13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4" t="s">
        <v>209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</sheetData>
  <sheetProtection/>
  <mergeCells count="726">
    <mergeCell ref="A137:J137"/>
    <mergeCell ref="K137:X137"/>
    <mergeCell ref="A138:X138"/>
    <mergeCell ref="A135:B135"/>
    <mergeCell ref="D135:G135"/>
    <mergeCell ref="J135:L135"/>
    <mergeCell ref="O135:P135"/>
    <mergeCell ref="Q135:X135"/>
    <mergeCell ref="A136:X136"/>
    <mergeCell ref="A133:X133"/>
    <mergeCell ref="A134:B134"/>
    <mergeCell ref="C134:H134"/>
    <mergeCell ref="I134:M134"/>
    <mergeCell ref="N134:Q134"/>
    <mergeCell ref="R134:X134"/>
    <mergeCell ref="A130:X130"/>
    <mergeCell ref="A131:H131"/>
    <mergeCell ref="I131:M131"/>
    <mergeCell ref="N131:Q131"/>
    <mergeCell ref="R131:X131"/>
    <mergeCell ref="A132:H132"/>
    <mergeCell ref="J132:L132"/>
    <mergeCell ref="O132:P132"/>
    <mergeCell ref="Q132:X132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1:X121"/>
    <mergeCell ref="A122:K122"/>
    <mergeCell ref="L122:M122"/>
    <mergeCell ref="N122:O122"/>
    <mergeCell ref="P122:R122"/>
    <mergeCell ref="S122:V122"/>
    <mergeCell ref="W122:X122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2017-06-13T06:48:43Z</dcterms:created>
  <dcterms:modified xsi:type="dcterms:W3CDTF">2017-06-13T06:48:43Z</dcterms:modified>
  <cp:category/>
  <cp:version/>
  <cp:contentType/>
  <cp:contentStatus/>
</cp:coreProperties>
</file>