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<sst xmlns="http://schemas.openxmlformats.org/spreadsheetml/2006/main" count="457" uniqueCount="197">
  <si>
    <t>ОТЧЕТ ОБ ИСПОЛНЕНИИ БЮДЖЕТА</t>
  </si>
  <si>
    <t>КОДЫ</t>
  </si>
  <si>
    <t xml:space="preserve">Форма по ОКУД </t>
  </si>
  <si>
    <t>0503117</t>
  </si>
  <si>
    <t>на 1 июня 2019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</si>
  <si>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</si>
  <si>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</si>
  <si>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</si>
  <si>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</si>
  <si>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</si>
  <si>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</si>
  <si>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</si>
  <si>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</si>
  <si>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/>
  </si>
  <si>
    <t xml:space="preserve">по ОКТМО </t>
  </si>
  <si>
    <t>03614422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</si>
  <si>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</si>
  <si>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</si>
  <si>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</si>
  <si>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</si>
  <si>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</si>
  <si>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</si>
  <si>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</si>
  <si>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</si>
  <si>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</si>
  <si>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</si>
  <si>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</si>
  <si>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</si>
  <si>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</si>
  <si>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</si>
  <si>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</si>
  <si>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</si>
  <si>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</si>
  <si>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</si>
  <si>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</si>
  <si>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</si>
  <si>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</si>
  <si>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</si>
  <si>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</si>
  <si>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</si>
  <si>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</si>
  <si>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</si>
  <si>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</si>
  <si>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</si>
  <si>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</si>
  <si>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</si>
  <si>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-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</si>
  <si>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</si>
  <si>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161 11633050 10 0000 140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</si>
  <si>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</si>
  <si>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</si>
  <si>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</si>
  <si>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</si>
  <si>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</si>
  <si>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</si>
  <si>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</si>
  <si>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</si>
  <si>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</si>
  <si>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</si>
  <si>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</si>
  <si>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</si>
  <si>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</si>
  <si>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</si>
  <si>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</si>
  <si>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</si>
  <si>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 года), мобилизуемый на территориях сельских поселений</t>
  </si>
  <si>
    <t>182 10904053 10 0000 110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</si>
  <si>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</si>
  <si>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</si>
  <si>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</si>
  <si>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</si>
  <si>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</si>
  <si>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992 11690050 10 0000 140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</si>
  <si>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</si>
  <si>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</si>
  <si>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</t>
  </si>
  <si>
    <t>992 20215001 10 0000 150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</si>
  <si>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</si>
  <si>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992 20225467 10 0000 150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</si>
  <si>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</si>
  <si>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</si>
  <si>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</si>
  <si>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</si>
  <si>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</si>
  <si>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</si>
  <si>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</si>
  <si>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</si>
  <si>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</si>
  <si>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</si>
  <si>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</si>
  <si>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</si>
  <si>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</si>
  <si>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</si>
  <si>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</si>
  <si>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Иные выплаты персоналу государственных (муниципальных) органов, за исключением фонда оплаты труда</t>
  </si>
  <si>
    <t>992 0104 5110000190 122</t>
  </si>
  <si>
    <t>992 0104 5110000190 129</t>
  </si>
  <si>
    <t>Прочая закупка товаров, работ и услуг</t>
  </si>
  <si>
    <t>992 0104 5110000190 244</t>
  </si>
  <si>
    <t>Уплата налога на имущество организаций и земельного налога</t>
  </si>
  <si>
    <t>992 0104 5110000190 851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</si>
  <si>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</si>
  <si>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</si>
  <si>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</si>
  <si>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</si>
  <si>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</si>
  <si>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</si>
  <si>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</si>
  <si>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Специальные расходы</t>
  </si>
  <si>
    <t>992 0107 5140000190 880</t>
  </si>
  <si>
    <t>Резервные средства</t>
  </si>
  <si>
    <t>992 0111 5150020590 870</t>
  </si>
  <si>
    <t>992 0113 0100100000 244</t>
  </si>
  <si>
    <t>Фонд оплаты труда учреждений</t>
  </si>
  <si>
    <t>992 0113 5180000590 111</t>
  </si>
  <si>
    <t>Иные выплаты персоналу учреждений, за исключением фонда оплаты труда</t>
  </si>
  <si>
    <t>992 0113 5180000590 112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</si>
  <si>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</si>
  <si>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</si>
  <si>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</si>
  <si>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992 0113 5180000590 851</t>
  </si>
  <si>
    <t>992 0113 5180000590 852</t>
  </si>
  <si>
    <t>992 0113 5180000590 853</t>
  </si>
  <si>
    <t>992 0203 5520051180 121</t>
  </si>
  <si>
    <t>992 0203 5520051180 129</t>
  </si>
  <si>
    <t>992 0309 0360100000 244</t>
  </si>
  <si>
    <t>992 0309 0380100000 244</t>
  </si>
  <si>
    <t>992 0314 0370100000 244</t>
  </si>
  <si>
    <t>992 0314 5790000000 540</t>
  </si>
  <si>
    <t>992 0409 2010100000 244</t>
  </si>
  <si>
    <t>992 0409 2010200000 244</t>
  </si>
  <si>
    <t>992 0409 20102S2440 244</t>
  </si>
  <si>
    <t>992 0409 2020100000 244</t>
  </si>
  <si>
    <t>992 0409 2020200000 244</t>
  </si>
  <si>
    <t>992 0412 0601600000 244</t>
  </si>
  <si>
    <t>992 0412 2100100000 244</t>
  </si>
  <si>
    <t>992 0412 2100200000 244</t>
  </si>
  <si>
    <t>992 0412 2100300000 244</t>
  </si>
  <si>
    <t>992 0502 2200100000 244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</si>
  <si>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</si>
  <si>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992 0502 2200300000 812</t>
  </si>
  <si>
    <t>992 0502 2200400000 244</t>
  </si>
  <si>
    <t>992 0502 2200500000 244</t>
  </si>
  <si>
    <t>992 0503 2200200000 244</t>
  </si>
  <si>
    <t>992 0503 2400100000 244</t>
  </si>
  <si>
    <t>992 0503 2400200000 244</t>
  </si>
  <si>
    <t>992 0503 2500100000 244</t>
  </si>
  <si>
    <t>992 0503 2500200000 244</t>
  </si>
  <si>
    <t>992 0503 2500300000 244</t>
  </si>
  <si>
    <t>992 0503 2500400000 244</t>
  </si>
  <si>
    <t>992 0503 2500500000 244</t>
  </si>
  <si>
    <t>992 0503 2500600000 244</t>
  </si>
  <si>
    <t>992 0503 2500700000 244</t>
  </si>
  <si>
    <t>992 0503 2500800000 244</t>
  </si>
  <si>
    <t>992 0503 9990060050 244</t>
  </si>
  <si>
    <t>992 0801 1010100000 244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</si>
  <si>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</si>
  <si>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</si>
  <si>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992 0801 1070100000 611</t>
  </si>
  <si>
    <t>992 0801 1070200000 611</t>
  </si>
  <si>
    <t>Субсидии бюджетным учреждениям на иные цели</t>
  </si>
  <si>
    <t>992 0801 10708L4670 612</t>
  </si>
  <si>
    <t>992 0804 1060100000 244</t>
  </si>
  <si>
    <t>992 0804 1060200000 244</t>
  </si>
  <si>
    <t>992 0804 1060300000 244</t>
  </si>
  <si>
    <t>Иные пенсии, социальные доплаты к пенсиям</t>
  </si>
  <si>
    <t>992 1001 9990041210 312</t>
  </si>
  <si>
    <t>992 1102 1300100000 611</t>
  </si>
  <si>
    <t>992 1204 9900000950 244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</si>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</sst>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29"/>
  <sheetViews>
    <sheetView tabSelected="1" zoomScalePageLayoutView="0" workbookViewId="0" topLeftCell="A96">
      <selection activeCell="A128" sqref="A128:J128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43617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13</v>
      </c>
    </row>
    <row r="8" spans="1:24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20</v>
      </c>
      <c r="U8" s="4"/>
      <c r="V8" s="4"/>
      <c r="W8" s="4"/>
      <c r="X8" s="11" t="s">
        <v>21</v>
      </c>
    </row>
    <row r="9" spans="1:24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24</v>
      </c>
      <c r="M10" s="13"/>
      <c r="N10" s="13" t="s">
        <v>25</v>
      </c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5" t="s">
        <v>28</v>
      </c>
      <c r="X10" s="15"/>
    </row>
    <row r="11" spans="1:24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30</v>
      </c>
      <c r="M11" s="16"/>
      <c r="N11" s="16" t="s">
        <v>31</v>
      </c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8" t="s">
        <v>34</v>
      </c>
      <c r="X11" s="18"/>
    </row>
    <row r="12" spans="1:24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36</v>
      </c>
      <c r="M12" s="20"/>
      <c r="N12" s="20" t="s">
        <v>37</v>
      </c>
      <c r="O12" s="20"/>
      <c r="P12" s="21">
        <f>52024500</f>
        <v>52024500</v>
      </c>
      <c r="Q12" s="21"/>
      <c r="R12" s="21"/>
      <c r="S12" s="21">
        <f>17059646.03</f>
        <v>17059646.03</v>
      </c>
      <c r="T12" s="21"/>
      <c r="U12" s="21"/>
      <c r="V12" s="21"/>
      <c r="W12" s="22">
        <f>34964853.97</f>
        <v>34964853.97</v>
      </c>
      <c r="X12" s="22"/>
    </row>
    <row r="13" spans="1:24" s="1" customFormat="1" ht="66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36</v>
      </c>
      <c r="M13" s="24"/>
      <c r="N13" s="24" t="s">
        <v>39</v>
      </c>
      <c r="O13" s="24"/>
      <c r="P13" s="25">
        <f>1257800</f>
        <v>1257800</v>
      </c>
      <c r="Q13" s="25"/>
      <c r="R13" s="25"/>
      <c r="S13" s="25">
        <f>958492.28</f>
        <v>958492.28</v>
      </c>
      <c r="T13" s="25"/>
      <c r="U13" s="25"/>
      <c r="V13" s="25"/>
      <c r="W13" s="26">
        <f>299307.72</f>
        <v>299307.72</v>
      </c>
      <c r="X13" s="26"/>
    </row>
    <row r="14" spans="1:24" s="1" customFormat="1" ht="75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36</v>
      </c>
      <c r="M14" s="24"/>
      <c r="N14" s="24" t="s">
        <v>41</v>
      </c>
      <c r="O14" s="24"/>
      <c r="P14" s="25">
        <f>18000</f>
        <v>18000</v>
      </c>
      <c r="Q14" s="25"/>
      <c r="R14" s="25"/>
      <c r="S14" s="25">
        <f>7200.58</f>
        <v>7200.58</v>
      </c>
      <c r="T14" s="25"/>
      <c r="U14" s="25"/>
      <c r="V14" s="25"/>
      <c r="W14" s="26">
        <f>10799.42</f>
        <v>10799.42</v>
      </c>
      <c r="X14" s="26"/>
    </row>
    <row r="15" spans="1:24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36</v>
      </c>
      <c r="M15" s="24"/>
      <c r="N15" s="24" t="s">
        <v>43</v>
      </c>
      <c r="O15" s="24"/>
      <c r="P15" s="25">
        <f>2700000</f>
        <v>2700000</v>
      </c>
      <c r="Q15" s="25"/>
      <c r="R15" s="25"/>
      <c r="S15" s="25">
        <f>1330318.19</f>
        <v>1330318.19</v>
      </c>
      <c r="T15" s="25"/>
      <c r="U15" s="25"/>
      <c r="V15" s="25"/>
      <c r="W15" s="26">
        <f>1369681.81</f>
        <v>1369681.81</v>
      </c>
      <c r="X15" s="26"/>
    </row>
    <row r="16" spans="1:24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36</v>
      </c>
      <c r="M16" s="24"/>
      <c r="N16" s="24" t="s">
        <v>45</v>
      </c>
      <c r="O16" s="24"/>
      <c r="P16" s="27" t="s">
        <v>46</v>
      </c>
      <c r="Q16" s="27"/>
      <c r="R16" s="27"/>
      <c r="S16" s="25">
        <f>-174310.4</f>
        <v>-174310.4</v>
      </c>
      <c r="T16" s="25"/>
      <c r="U16" s="25"/>
      <c r="V16" s="25"/>
      <c r="W16" s="28" t="s">
        <v>46</v>
      </c>
      <c r="X16" s="28"/>
    </row>
    <row r="17" spans="1:24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36</v>
      </c>
      <c r="M17" s="24"/>
      <c r="N17" s="24" t="s">
        <v>48</v>
      </c>
      <c r="O17" s="24"/>
      <c r="P17" s="27" t="s">
        <v>46</v>
      </c>
      <c r="Q17" s="27"/>
      <c r="R17" s="27"/>
      <c r="S17" s="25">
        <f>3000</f>
        <v>3000</v>
      </c>
      <c r="T17" s="25"/>
      <c r="U17" s="25"/>
      <c r="V17" s="25"/>
      <c r="W17" s="28" t="s">
        <v>46</v>
      </c>
      <c r="X17" s="28"/>
    </row>
    <row r="18" spans="1:24" s="1" customFormat="1" ht="45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36</v>
      </c>
      <c r="M18" s="24"/>
      <c r="N18" s="24" t="s">
        <v>50</v>
      </c>
      <c r="O18" s="24"/>
      <c r="P18" s="25">
        <f>15050000</f>
        <v>15050000</v>
      </c>
      <c r="Q18" s="25"/>
      <c r="R18" s="25"/>
      <c r="S18" s="25">
        <f>5551695.36</f>
        <v>5551695.36</v>
      </c>
      <c r="T18" s="25"/>
      <c r="U18" s="25"/>
      <c r="V18" s="25"/>
      <c r="W18" s="26">
        <f>9498304.64</f>
        <v>9498304.64</v>
      </c>
      <c r="X18" s="26"/>
    </row>
    <row r="19" spans="1:24" s="1" customFormat="1" ht="66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36</v>
      </c>
      <c r="M19" s="24"/>
      <c r="N19" s="24" t="s">
        <v>52</v>
      </c>
      <c r="O19" s="24"/>
      <c r="P19" s="25">
        <f>160000</f>
        <v>160000</v>
      </c>
      <c r="Q19" s="25"/>
      <c r="R19" s="25"/>
      <c r="S19" s="25">
        <f>43789.04</f>
        <v>43789.04</v>
      </c>
      <c r="T19" s="25"/>
      <c r="U19" s="25"/>
      <c r="V19" s="25"/>
      <c r="W19" s="26">
        <f>116210.96</f>
        <v>116210.96</v>
      </c>
      <c r="X19" s="26"/>
    </row>
    <row r="20" spans="1:24" s="1" customFormat="1" ht="24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36</v>
      </c>
      <c r="M20" s="24"/>
      <c r="N20" s="24" t="s">
        <v>54</v>
      </c>
      <c r="O20" s="24"/>
      <c r="P20" s="25">
        <f>110000</f>
        <v>110000</v>
      </c>
      <c r="Q20" s="25"/>
      <c r="R20" s="25"/>
      <c r="S20" s="25">
        <f>63298.96</f>
        <v>63298.96</v>
      </c>
      <c r="T20" s="25"/>
      <c r="U20" s="25"/>
      <c r="V20" s="25"/>
      <c r="W20" s="26">
        <f>46701.04</f>
        <v>46701.04</v>
      </c>
      <c r="X20" s="26"/>
    </row>
    <row r="21" spans="1:24" s="1" customFormat="1" ht="54.75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36</v>
      </c>
      <c r="M21" s="24"/>
      <c r="N21" s="24" t="s">
        <v>56</v>
      </c>
      <c r="O21" s="24"/>
      <c r="P21" s="25">
        <f>130000</f>
        <v>130000</v>
      </c>
      <c r="Q21" s="25"/>
      <c r="R21" s="25"/>
      <c r="S21" s="25">
        <f>66858.69</f>
        <v>66858.69</v>
      </c>
      <c r="T21" s="25"/>
      <c r="U21" s="25"/>
      <c r="V21" s="25"/>
      <c r="W21" s="26">
        <f>63141.31</f>
        <v>63141.31</v>
      </c>
      <c r="X21" s="26"/>
    </row>
    <row r="22" spans="1:24" s="1" customFormat="1" ht="13.5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36</v>
      </c>
      <c r="M22" s="24"/>
      <c r="N22" s="24" t="s">
        <v>58</v>
      </c>
      <c r="O22" s="24"/>
      <c r="P22" s="25">
        <f>1297000</f>
        <v>1297000</v>
      </c>
      <c r="Q22" s="25"/>
      <c r="R22" s="25"/>
      <c r="S22" s="25">
        <f>789260.46</f>
        <v>789260.46</v>
      </c>
      <c r="T22" s="25"/>
      <c r="U22" s="25"/>
      <c r="V22" s="25"/>
      <c r="W22" s="26">
        <f>507739.54</f>
        <v>507739.54</v>
      </c>
      <c r="X22" s="26"/>
    </row>
    <row r="23" spans="1:24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36</v>
      </c>
      <c r="M23" s="24"/>
      <c r="N23" s="24" t="s">
        <v>60</v>
      </c>
      <c r="O23" s="24"/>
      <c r="P23" s="25">
        <f>3600000</f>
        <v>3600000</v>
      </c>
      <c r="Q23" s="25"/>
      <c r="R23" s="25"/>
      <c r="S23" s="25">
        <f>545427.34</f>
        <v>545427.34</v>
      </c>
      <c r="T23" s="25"/>
      <c r="U23" s="25"/>
      <c r="V23" s="25"/>
      <c r="W23" s="26">
        <f>3054572.66</f>
        <v>3054572.66</v>
      </c>
      <c r="X23" s="26"/>
    </row>
    <row r="24" spans="1:24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36</v>
      </c>
      <c r="M24" s="24"/>
      <c r="N24" s="24" t="s">
        <v>62</v>
      </c>
      <c r="O24" s="24"/>
      <c r="P24" s="25">
        <f>1274000</f>
        <v>1274000</v>
      </c>
      <c r="Q24" s="25"/>
      <c r="R24" s="25"/>
      <c r="S24" s="25">
        <f>838611.5</f>
        <v>838611.5</v>
      </c>
      <c r="T24" s="25"/>
      <c r="U24" s="25"/>
      <c r="V24" s="25"/>
      <c r="W24" s="26">
        <f>435388.5</f>
        <v>435388.5</v>
      </c>
      <c r="X24" s="26"/>
    </row>
    <row r="25" spans="1:24" s="1" customFormat="1" ht="24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36</v>
      </c>
      <c r="M25" s="24"/>
      <c r="N25" s="24" t="s">
        <v>64</v>
      </c>
      <c r="O25" s="24"/>
      <c r="P25" s="25">
        <f>7100000</f>
        <v>7100000</v>
      </c>
      <c r="Q25" s="25"/>
      <c r="R25" s="25"/>
      <c r="S25" s="25">
        <f>1125180.3</f>
        <v>1125180.3</v>
      </c>
      <c r="T25" s="25"/>
      <c r="U25" s="25"/>
      <c r="V25" s="25"/>
      <c r="W25" s="26">
        <f>5974819.7</f>
        <v>5974819.7</v>
      </c>
      <c r="X25" s="26"/>
    </row>
    <row r="26" spans="1:24" s="1" customFormat="1" ht="24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36</v>
      </c>
      <c r="M26" s="24"/>
      <c r="N26" s="24" t="s">
        <v>66</v>
      </c>
      <c r="O26" s="24"/>
      <c r="P26" s="27" t="s">
        <v>46</v>
      </c>
      <c r="Q26" s="27"/>
      <c r="R26" s="27"/>
      <c r="S26" s="25">
        <f>11.62</f>
        <v>11.62</v>
      </c>
      <c r="T26" s="25"/>
      <c r="U26" s="25"/>
      <c r="V26" s="25"/>
      <c r="W26" s="28" t="s">
        <v>46</v>
      </c>
      <c r="X26" s="28"/>
    </row>
    <row r="27" spans="1:24" s="1" customFormat="1" ht="33.75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36</v>
      </c>
      <c r="M27" s="24"/>
      <c r="N27" s="24" t="s">
        <v>68</v>
      </c>
      <c r="O27" s="24"/>
      <c r="P27" s="27" t="s">
        <v>46</v>
      </c>
      <c r="Q27" s="27"/>
      <c r="R27" s="27"/>
      <c r="S27" s="25">
        <f>114908.5</f>
        <v>114908.5</v>
      </c>
      <c r="T27" s="25"/>
      <c r="U27" s="25"/>
      <c r="V27" s="25"/>
      <c r="W27" s="28" t="s">
        <v>46</v>
      </c>
      <c r="X27" s="28"/>
    </row>
    <row r="28" spans="1:24" s="1" customFormat="1" ht="24" customHeight="1">
      <c r="A28" s="23" t="s">
        <v>69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36</v>
      </c>
      <c r="M28" s="24"/>
      <c r="N28" s="24" t="s">
        <v>70</v>
      </c>
      <c r="O28" s="24"/>
      <c r="P28" s="25">
        <f>133900</f>
        <v>133900</v>
      </c>
      <c r="Q28" s="25"/>
      <c r="R28" s="25"/>
      <c r="S28" s="25">
        <f>32927.61</f>
        <v>32927.61</v>
      </c>
      <c r="T28" s="25"/>
      <c r="U28" s="25"/>
      <c r="V28" s="25"/>
      <c r="W28" s="26">
        <f>100972.39</f>
        <v>100972.39</v>
      </c>
      <c r="X28" s="26"/>
    </row>
    <row r="29" spans="1:24" s="1" customFormat="1" ht="24" customHeight="1">
      <c r="A29" s="23" t="s">
        <v>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36</v>
      </c>
      <c r="M29" s="24"/>
      <c r="N29" s="24" t="s">
        <v>72</v>
      </c>
      <c r="O29" s="24"/>
      <c r="P29" s="27" t="s">
        <v>46</v>
      </c>
      <c r="Q29" s="27"/>
      <c r="R29" s="27"/>
      <c r="S29" s="25">
        <f>2000</f>
        <v>2000</v>
      </c>
      <c r="T29" s="25"/>
      <c r="U29" s="25"/>
      <c r="V29" s="25"/>
      <c r="W29" s="28" t="s">
        <v>46</v>
      </c>
      <c r="X29" s="28"/>
    </row>
    <row r="30" spans="1:24" s="1" customFormat="1" ht="13.5" customHeight="1">
      <c r="A30" s="23" t="s">
        <v>73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36</v>
      </c>
      <c r="M30" s="24"/>
      <c r="N30" s="24" t="s">
        <v>74</v>
      </c>
      <c r="O30" s="24"/>
      <c r="P30" s="27" t="s">
        <v>46</v>
      </c>
      <c r="Q30" s="27"/>
      <c r="R30" s="27"/>
      <c r="S30" s="25">
        <f>180000</f>
        <v>180000</v>
      </c>
      <c r="T30" s="25"/>
      <c r="U30" s="25"/>
      <c r="V30" s="25"/>
      <c r="W30" s="28" t="s">
        <v>46</v>
      </c>
      <c r="X30" s="28"/>
    </row>
    <row r="31" spans="1:24" s="1" customFormat="1" ht="24" customHeight="1">
      <c r="A31" s="23" t="s">
        <v>75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36</v>
      </c>
      <c r="M31" s="24"/>
      <c r="N31" s="24" t="s">
        <v>76</v>
      </c>
      <c r="O31" s="24"/>
      <c r="P31" s="25">
        <f>9725500</f>
        <v>9725500</v>
      </c>
      <c r="Q31" s="25"/>
      <c r="R31" s="25"/>
      <c r="S31" s="25">
        <f>4801300</f>
        <v>4801300</v>
      </c>
      <c r="T31" s="25"/>
      <c r="U31" s="25"/>
      <c r="V31" s="25"/>
      <c r="W31" s="26">
        <f>4924200</f>
        <v>4924200</v>
      </c>
      <c r="X31" s="26"/>
    </row>
    <row r="32" spans="1:24" s="1" customFormat="1" ht="33.75" customHeight="1">
      <c r="A32" s="23" t="s">
        <v>77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36</v>
      </c>
      <c r="M32" s="24"/>
      <c r="N32" s="24" t="s">
        <v>78</v>
      </c>
      <c r="O32" s="24"/>
      <c r="P32" s="25">
        <f>170800</f>
        <v>170800</v>
      </c>
      <c r="Q32" s="25"/>
      <c r="R32" s="25"/>
      <c r="S32" s="27" t="s">
        <v>46</v>
      </c>
      <c r="T32" s="27"/>
      <c r="U32" s="27"/>
      <c r="V32" s="27"/>
      <c r="W32" s="26">
        <f>170800</f>
        <v>170800</v>
      </c>
      <c r="X32" s="26"/>
    </row>
    <row r="33" spans="1:24" s="1" customFormat="1" ht="13.5" customHeight="1">
      <c r="A33" s="23" t="s">
        <v>79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36</v>
      </c>
      <c r="M33" s="24"/>
      <c r="N33" s="24" t="s">
        <v>80</v>
      </c>
      <c r="O33" s="24"/>
      <c r="P33" s="25">
        <f>8846400</f>
        <v>8846400</v>
      </c>
      <c r="Q33" s="25"/>
      <c r="R33" s="25"/>
      <c r="S33" s="25">
        <f>600000</f>
        <v>600000</v>
      </c>
      <c r="T33" s="25"/>
      <c r="U33" s="25"/>
      <c r="V33" s="25"/>
      <c r="W33" s="26">
        <f>8246400</f>
        <v>8246400</v>
      </c>
      <c r="X33" s="26"/>
    </row>
    <row r="34" spans="1:24" s="1" customFormat="1" ht="24" customHeight="1">
      <c r="A34" s="23" t="s">
        <v>81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36</v>
      </c>
      <c r="M34" s="24"/>
      <c r="N34" s="24" t="s">
        <v>82</v>
      </c>
      <c r="O34" s="24"/>
      <c r="P34" s="25">
        <f>7600</f>
        <v>7600</v>
      </c>
      <c r="Q34" s="25"/>
      <c r="R34" s="25"/>
      <c r="S34" s="27" t="s">
        <v>46</v>
      </c>
      <c r="T34" s="27"/>
      <c r="U34" s="27"/>
      <c r="V34" s="27"/>
      <c r="W34" s="26">
        <f>7600</f>
        <v>7600</v>
      </c>
      <c r="X34" s="26"/>
    </row>
    <row r="35" spans="1:24" s="1" customFormat="1" ht="24" customHeight="1">
      <c r="A35" s="23" t="s">
        <v>83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36</v>
      </c>
      <c r="M35" s="24"/>
      <c r="N35" s="24" t="s">
        <v>84</v>
      </c>
      <c r="O35" s="24"/>
      <c r="P35" s="25">
        <f>443500</f>
        <v>443500</v>
      </c>
      <c r="Q35" s="25"/>
      <c r="R35" s="25"/>
      <c r="S35" s="25">
        <f>179676</f>
        <v>179676</v>
      </c>
      <c r="T35" s="25"/>
      <c r="U35" s="25"/>
      <c r="V35" s="25"/>
      <c r="W35" s="26">
        <f>263824</f>
        <v>263824</v>
      </c>
      <c r="X35" s="26"/>
    </row>
    <row r="36" spans="1:24" s="1" customFormat="1" ht="13.5" customHeight="1">
      <c r="A36" s="29" t="s">
        <v>13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1:24" s="1" customFormat="1" ht="13.5" customHeight="1">
      <c r="A37" s="12" t="s">
        <v>85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s="1" customFormat="1" ht="34.5" customHeight="1">
      <c r="A38" s="13" t="s">
        <v>23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 t="s">
        <v>24</v>
      </c>
      <c r="M38" s="13"/>
      <c r="N38" s="13" t="s">
        <v>86</v>
      </c>
      <c r="O38" s="13"/>
      <c r="P38" s="14" t="s">
        <v>26</v>
      </c>
      <c r="Q38" s="14"/>
      <c r="R38" s="14"/>
      <c r="S38" s="14" t="s">
        <v>27</v>
      </c>
      <c r="T38" s="14"/>
      <c r="U38" s="14"/>
      <c r="V38" s="14"/>
      <c r="W38" s="15" t="s">
        <v>28</v>
      </c>
      <c r="X38" s="15"/>
    </row>
    <row r="39" spans="1:24" s="1" customFormat="1" ht="13.5" customHeight="1">
      <c r="A39" s="16" t="s">
        <v>29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 t="s">
        <v>30</v>
      </c>
      <c r="M39" s="16"/>
      <c r="N39" s="16" t="s">
        <v>31</v>
      </c>
      <c r="O39" s="16"/>
      <c r="P39" s="17" t="s">
        <v>32</v>
      </c>
      <c r="Q39" s="17"/>
      <c r="R39" s="17"/>
      <c r="S39" s="17" t="s">
        <v>33</v>
      </c>
      <c r="T39" s="17"/>
      <c r="U39" s="17"/>
      <c r="V39" s="17"/>
      <c r="W39" s="18" t="s">
        <v>34</v>
      </c>
      <c r="X39" s="18"/>
    </row>
    <row r="40" spans="1:24" s="1" customFormat="1" ht="13.5" customHeight="1">
      <c r="A40" s="19" t="s">
        <v>87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0" t="s">
        <v>88</v>
      </c>
      <c r="M40" s="20"/>
      <c r="N40" s="20" t="s">
        <v>37</v>
      </c>
      <c r="O40" s="20"/>
      <c r="P40" s="21">
        <f>55065808.08</f>
        <v>55065808.08</v>
      </c>
      <c r="Q40" s="21"/>
      <c r="R40" s="21"/>
      <c r="S40" s="21">
        <f>19332925.74</f>
        <v>19332925.74</v>
      </c>
      <c r="T40" s="21"/>
      <c r="U40" s="21"/>
      <c r="V40" s="21"/>
      <c r="W40" s="22">
        <f>35732882.34</f>
        <v>35732882.34</v>
      </c>
      <c r="X40" s="22"/>
    </row>
    <row r="41" spans="1:24" s="1" customFormat="1" ht="13.5" customHeight="1">
      <c r="A41" s="30" t="s">
        <v>89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1" t="s">
        <v>88</v>
      </c>
      <c r="M41" s="31"/>
      <c r="N41" s="31" t="s">
        <v>90</v>
      </c>
      <c r="O41" s="31"/>
      <c r="P41" s="32">
        <f>758500</f>
        <v>758500</v>
      </c>
      <c r="Q41" s="32"/>
      <c r="R41" s="32"/>
      <c r="S41" s="32">
        <f>331894</f>
        <v>331894</v>
      </c>
      <c r="T41" s="32"/>
      <c r="U41" s="32"/>
      <c r="V41" s="32"/>
      <c r="W41" s="33">
        <f>426606</f>
        <v>426606</v>
      </c>
      <c r="X41" s="33"/>
    </row>
    <row r="42" spans="1:24" s="1" customFormat="1" ht="33.75" customHeight="1">
      <c r="A42" s="30" t="s">
        <v>91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1" t="s">
        <v>88</v>
      </c>
      <c r="M42" s="31"/>
      <c r="N42" s="31" t="s">
        <v>92</v>
      </c>
      <c r="O42" s="31"/>
      <c r="P42" s="32">
        <f>229100</f>
        <v>229100</v>
      </c>
      <c r="Q42" s="32"/>
      <c r="R42" s="32"/>
      <c r="S42" s="32">
        <f>100231.99</f>
        <v>100231.99</v>
      </c>
      <c r="T42" s="32"/>
      <c r="U42" s="32"/>
      <c r="V42" s="32"/>
      <c r="W42" s="33">
        <f>128868.01</f>
        <v>128868.01</v>
      </c>
      <c r="X42" s="33"/>
    </row>
    <row r="43" spans="1:24" s="1" customFormat="1" ht="13.5" customHeight="1">
      <c r="A43" s="30" t="s">
        <v>89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 t="s">
        <v>88</v>
      </c>
      <c r="M43" s="31"/>
      <c r="N43" s="31" t="s">
        <v>93</v>
      </c>
      <c r="O43" s="31"/>
      <c r="P43" s="32">
        <f>4732100</f>
        <v>4732100</v>
      </c>
      <c r="Q43" s="32"/>
      <c r="R43" s="32"/>
      <c r="S43" s="32">
        <f>1986258</f>
        <v>1986258</v>
      </c>
      <c r="T43" s="32"/>
      <c r="U43" s="32"/>
      <c r="V43" s="32"/>
      <c r="W43" s="33">
        <f>2745842</f>
        <v>2745842</v>
      </c>
      <c r="X43" s="33"/>
    </row>
    <row r="44" spans="1:24" s="1" customFormat="1" ht="24" customHeight="1">
      <c r="A44" s="30" t="s">
        <v>94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88</v>
      </c>
      <c r="M44" s="31"/>
      <c r="N44" s="31" t="s">
        <v>95</v>
      </c>
      <c r="O44" s="31"/>
      <c r="P44" s="32">
        <f>6300</f>
        <v>6300</v>
      </c>
      <c r="Q44" s="32"/>
      <c r="R44" s="32"/>
      <c r="S44" s="32">
        <f>5679.8</f>
        <v>5679.8</v>
      </c>
      <c r="T44" s="32"/>
      <c r="U44" s="32"/>
      <c r="V44" s="32"/>
      <c r="W44" s="33">
        <f>620.2</f>
        <v>620.2</v>
      </c>
      <c r="X44" s="33"/>
    </row>
    <row r="45" spans="1:24" s="1" customFormat="1" ht="33.75" customHeight="1">
      <c r="A45" s="30" t="s">
        <v>91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88</v>
      </c>
      <c r="M45" s="31"/>
      <c r="N45" s="31" t="s">
        <v>96</v>
      </c>
      <c r="O45" s="31"/>
      <c r="P45" s="32">
        <f>1429100</f>
        <v>1429100</v>
      </c>
      <c r="Q45" s="32"/>
      <c r="R45" s="32"/>
      <c r="S45" s="32">
        <f>629998.7</f>
        <v>629998.7</v>
      </c>
      <c r="T45" s="32"/>
      <c r="U45" s="32"/>
      <c r="V45" s="32"/>
      <c r="W45" s="33">
        <f>799101.3</f>
        <v>799101.3</v>
      </c>
      <c r="X45" s="33"/>
    </row>
    <row r="46" spans="1:24" s="1" customFormat="1" ht="13.5" customHeight="1">
      <c r="A46" s="30" t="s">
        <v>97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88</v>
      </c>
      <c r="M46" s="31"/>
      <c r="N46" s="31" t="s">
        <v>98</v>
      </c>
      <c r="O46" s="31"/>
      <c r="P46" s="32">
        <f>147300</f>
        <v>147300</v>
      </c>
      <c r="Q46" s="32"/>
      <c r="R46" s="32"/>
      <c r="S46" s="32">
        <f>100816.2</f>
        <v>100816.2</v>
      </c>
      <c r="T46" s="32"/>
      <c r="U46" s="32"/>
      <c r="V46" s="32"/>
      <c r="W46" s="33">
        <f>46483.8</f>
        <v>46483.8</v>
      </c>
      <c r="X46" s="33"/>
    </row>
    <row r="47" spans="1:24" s="1" customFormat="1" ht="13.5" customHeight="1">
      <c r="A47" s="30" t="s">
        <v>99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88</v>
      </c>
      <c r="M47" s="31"/>
      <c r="N47" s="31" t="s">
        <v>100</v>
      </c>
      <c r="O47" s="31"/>
      <c r="P47" s="32">
        <f>163500</f>
        <v>163500</v>
      </c>
      <c r="Q47" s="32"/>
      <c r="R47" s="32"/>
      <c r="S47" s="34" t="s">
        <v>46</v>
      </c>
      <c r="T47" s="34"/>
      <c r="U47" s="34"/>
      <c r="V47" s="34"/>
      <c r="W47" s="33">
        <f>163500</f>
        <v>163500</v>
      </c>
      <c r="X47" s="33"/>
    </row>
    <row r="48" spans="1:24" s="1" customFormat="1" ht="13.5" customHeight="1">
      <c r="A48" s="30" t="s">
        <v>101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88</v>
      </c>
      <c r="M48" s="31"/>
      <c r="N48" s="31" t="s">
        <v>102</v>
      </c>
      <c r="O48" s="31"/>
      <c r="P48" s="32">
        <f>4500</f>
        <v>4500</v>
      </c>
      <c r="Q48" s="32"/>
      <c r="R48" s="32"/>
      <c r="S48" s="32">
        <f>4144</f>
        <v>4144</v>
      </c>
      <c r="T48" s="32"/>
      <c r="U48" s="32"/>
      <c r="V48" s="32"/>
      <c r="W48" s="33">
        <f>356</f>
        <v>356</v>
      </c>
      <c r="X48" s="33"/>
    </row>
    <row r="49" spans="1:24" s="1" customFormat="1" ht="13.5" customHeight="1">
      <c r="A49" s="30" t="s">
        <v>103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88</v>
      </c>
      <c r="M49" s="31"/>
      <c r="N49" s="31" t="s">
        <v>104</v>
      </c>
      <c r="O49" s="31"/>
      <c r="P49" s="32">
        <f>22000</f>
        <v>22000</v>
      </c>
      <c r="Q49" s="32"/>
      <c r="R49" s="32"/>
      <c r="S49" s="32">
        <f>101.06</f>
        <v>101.06</v>
      </c>
      <c r="T49" s="32"/>
      <c r="U49" s="32"/>
      <c r="V49" s="32"/>
      <c r="W49" s="33">
        <f>21898.94</f>
        <v>21898.94</v>
      </c>
      <c r="X49" s="33"/>
    </row>
    <row r="50" spans="1:24" s="1" customFormat="1" ht="13.5" customHeight="1">
      <c r="A50" s="30" t="s">
        <v>97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88</v>
      </c>
      <c r="M50" s="31"/>
      <c r="N50" s="31" t="s">
        <v>105</v>
      </c>
      <c r="O50" s="31"/>
      <c r="P50" s="32">
        <f>7600</f>
        <v>7600</v>
      </c>
      <c r="Q50" s="32"/>
      <c r="R50" s="32"/>
      <c r="S50" s="34" t="s">
        <v>46</v>
      </c>
      <c r="T50" s="34"/>
      <c r="U50" s="34"/>
      <c r="V50" s="34"/>
      <c r="W50" s="33">
        <f>7600</f>
        <v>7600</v>
      </c>
      <c r="X50" s="33"/>
    </row>
    <row r="51" spans="1:24" s="1" customFormat="1" ht="13.5" customHeight="1">
      <c r="A51" s="30" t="s">
        <v>106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88</v>
      </c>
      <c r="M51" s="31"/>
      <c r="N51" s="31" t="s">
        <v>107</v>
      </c>
      <c r="O51" s="31"/>
      <c r="P51" s="32">
        <f>291000</f>
        <v>291000</v>
      </c>
      <c r="Q51" s="32"/>
      <c r="R51" s="32"/>
      <c r="S51" s="32">
        <f>72750</f>
        <v>72750</v>
      </c>
      <c r="T51" s="32"/>
      <c r="U51" s="32"/>
      <c r="V51" s="32"/>
      <c r="W51" s="33">
        <f>218250</f>
        <v>218250</v>
      </c>
      <c r="X51" s="33"/>
    </row>
    <row r="52" spans="1:24" s="1" customFormat="1" ht="13.5" customHeight="1">
      <c r="A52" s="30" t="s">
        <v>108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88</v>
      </c>
      <c r="M52" s="31"/>
      <c r="N52" s="31" t="s">
        <v>109</v>
      </c>
      <c r="O52" s="31"/>
      <c r="P52" s="32">
        <f>720000</f>
        <v>720000</v>
      </c>
      <c r="Q52" s="32"/>
      <c r="R52" s="32"/>
      <c r="S52" s="34" t="s">
        <v>46</v>
      </c>
      <c r="T52" s="34"/>
      <c r="U52" s="34"/>
      <c r="V52" s="34"/>
      <c r="W52" s="33">
        <f>720000</f>
        <v>720000</v>
      </c>
      <c r="X52" s="33"/>
    </row>
    <row r="53" spans="1:24" s="1" customFormat="1" ht="13.5" customHeight="1">
      <c r="A53" s="30" t="s">
        <v>110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88</v>
      </c>
      <c r="M53" s="31"/>
      <c r="N53" s="31" t="s">
        <v>111</v>
      </c>
      <c r="O53" s="31"/>
      <c r="P53" s="32">
        <f>40000</f>
        <v>40000</v>
      </c>
      <c r="Q53" s="32"/>
      <c r="R53" s="32"/>
      <c r="S53" s="34" t="s">
        <v>46</v>
      </c>
      <c r="T53" s="34"/>
      <c r="U53" s="34"/>
      <c r="V53" s="34"/>
      <c r="W53" s="33">
        <f>40000</f>
        <v>40000</v>
      </c>
      <c r="X53" s="33"/>
    </row>
    <row r="54" spans="1:24" s="1" customFormat="1" ht="13.5" customHeight="1">
      <c r="A54" s="30" t="s">
        <v>97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88</v>
      </c>
      <c r="M54" s="31"/>
      <c r="N54" s="31" t="s">
        <v>112</v>
      </c>
      <c r="O54" s="31"/>
      <c r="P54" s="32">
        <f>117200</f>
        <v>117200</v>
      </c>
      <c r="Q54" s="32"/>
      <c r="R54" s="32"/>
      <c r="S54" s="34" t="s">
        <v>46</v>
      </c>
      <c r="T54" s="34"/>
      <c r="U54" s="34"/>
      <c r="V54" s="34"/>
      <c r="W54" s="33">
        <f>117200</f>
        <v>117200</v>
      </c>
      <c r="X54" s="33"/>
    </row>
    <row r="55" spans="1:24" s="1" customFormat="1" ht="13.5" customHeight="1">
      <c r="A55" s="30" t="s">
        <v>113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88</v>
      </c>
      <c r="M55" s="31"/>
      <c r="N55" s="31" t="s">
        <v>114</v>
      </c>
      <c r="O55" s="31"/>
      <c r="P55" s="32">
        <f>5115700</f>
        <v>5115700</v>
      </c>
      <c r="Q55" s="32"/>
      <c r="R55" s="32"/>
      <c r="S55" s="32">
        <f>2125104</f>
        <v>2125104</v>
      </c>
      <c r="T55" s="32"/>
      <c r="U55" s="32"/>
      <c r="V55" s="32"/>
      <c r="W55" s="33">
        <f>2990596</f>
        <v>2990596</v>
      </c>
      <c r="X55" s="33"/>
    </row>
    <row r="56" spans="1:24" s="1" customFormat="1" ht="13.5" customHeight="1">
      <c r="A56" s="30" t="s">
        <v>115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88</v>
      </c>
      <c r="M56" s="31"/>
      <c r="N56" s="31" t="s">
        <v>116</v>
      </c>
      <c r="O56" s="31"/>
      <c r="P56" s="32">
        <f>600</f>
        <v>600</v>
      </c>
      <c r="Q56" s="32"/>
      <c r="R56" s="32"/>
      <c r="S56" s="32">
        <f>250</f>
        <v>250</v>
      </c>
      <c r="T56" s="32"/>
      <c r="U56" s="32"/>
      <c r="V56" s="32"/>
      <c r="W56" s="33">
        <f>350</f>
        <v>350</v>
      </c>
      <c r="X56" s="33"/>
    </row>
    <row r="57" spans="1:24" s="1" customFormat="1" ht="24" customHeight="1">
      <c r="A57" s="30" t="s">
        <v>117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88</v>
      </c>
      <c r="M57" s="31"/>
      <c r="N57" s="31" t="s">
        <v>118</v>
      </c>
      <c r="O57" s="31"/>
      <c r="P57" s="32">
        <f>1545000</f>
        <v>1545000</v>
      </c>
      <c r="Q57" s="32"/>
      <c r="R57" s="32"/>
      <c r="S57" s="32">
        <f>715238.47</f>
        <v>715238.47</v>
      </c>
      <c r="T57" s="32"/>
      <c r="U57" s="32"/>
      <c r="V57" s="32"/>
      <c r="W57" s="33">
        <f>829761.53</f>
        <v>829761.53</v>
      </c>
      <c r="X57" s="33"/>
    </row>
    <row r="58" spans="1:24" s="1" customFormat="1" ht="13.5" customHeight="1">
      <c r="A58" s="30" t="s">
        <v>97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88</v>
      </c>
      <c r="M58" s="31"/>
      <c r="N58" s="31" t="s">
        <v>119</v>
      </c>
      <c r="O58" s="31"/>
      <c r="P58" s="32">
        <f>2337600</f>
        <v>2337600</v>
      </c>
      <c r="Q58" s="32"/>
      <c r="R58" s="32"/>
      <c r="S58" s="32">
        <f>1391052.57</f>
        <v>1391052.57</v>
      </c>
      <c r="T58" s="32"/>
      <c r="U58" s="32"/>
      <c r="V58" s="32"/>
      <c r="W58" s="33">
        <f>946547.43</f>
        <v>946547.43</v>
      </c>
      <c r="X58" s="33"/>
    </row>
    <row r="59" spans="1:24" s="1" customFormat="1" ht="13.5" customHeight="1">
      <c r="A59" s="30" t="s">
        <v>99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88</v>
      </c>
      <c r="M59" s="31"/>
      <c r="N59" s="31" t="s">
        <v>120</v>
      </c>
      <c r="O59" s="31"/>
      <c r="P59" s="32">
        <f>5000</f>
        <v>5000</v>
      </c>
      <c r="Q59" s="32"/>
      <c r="R59" s="32"/>
      <c r="S59" s="32">
        <f>2635.41</f>
        <v>2635.41</v>
      </c>
      <c r="T59" s="32"/>
      <c r="U59" s="32"/>
      <c r="V59" s="32"/>
      <c r="W59" s="33">
        <f>2364.59</f>
        <v>2364.59</v>
      </c>
      <c r="X59" s="33"/>
    </row>
    <row r="60" spans="1:24" s="1" customFormat="1" ht="13.5" customHeight="1">
      <c r="A60" s="30" t="s">
        <v>101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88</v>
      </c>
      <c r="M60" s="31"/>
      <c r="N60" s="31" t="s">
        <v>121</v>
      </c>
      <c r="O60" s="31"/>
      <c r="P60" s="32">
        <f>5000</f>
        <v>5000</v>
      </c>
      <c r="Q60" s="32"/>
      <c r="R60" s="32"/>
      <c r="S60" s="32">
        <f>510</f>
        <v>510</v>
      </c>
      <c r="T60" s="32"/>
      <c r="U60" s="32"/>
      <c r="V60" s="32"/>
      <c r="W60" s="33">
        <f>4490</f>
        <v>4490</v>
      </c>
      <c r="X60" s="33"/>
    </row>
    <row r="61" spans="1:24" s="1" customFormat="1" ht="13.5" customHeight="1">
      <c r="A61" s="30" t="s">
        <v>103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88</v>
      </c>
      <c r="M61" s="31"/>
      <c r="N61" s="31" t="s">
        <v>122</v>
      </c>
      <c r="O61" s="31"/>
      <c r="P61" s="32">
        <f>6000</f>
        <v>6000</v>
      </c>
      <c r="Q61" s="32"/>
      <c r="R61" s="32"/>
      <c r="S61" s="32">
        <f>516.28</f>
        <v>516.28</v>
      </c>
      <c r="T61" s="32"/>
      <c r="U61" s="32"/>
      <c r="V61" s="32"/>
      <c r="W61" s="33">
        <f>5483.72</f>
        <v>5483.72</v>
      </c>
      <c r="X61" s="33"/>
    </row>
    <row r="62" spans="1:24" s="1" customFormat="1" ht="13.5" customHeight="1">
      <c r="A62" s="30" t="s">
        <v>89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88</v>
      </c>
      <c r="M62" s="31"/>
      <c r="N62" s="31" t="s">
        <v>123</v>
      </c>
      <c r="O62" s="31"/>
      <c r="P62" s="32">
        <f>340600</f>
        <v>340600</v>
      </c>
      <c r="Q62" s="32"/>
      <c r="R62" s="32"/>
      <c r="S62" s="32">
        <f>138000</f>
        <v>138000</v>
      </c>
      <c r="T62" s="32"/>
      <c r="U62" s="32"/>
      <c r="V62" s="32"/>
      <c r="W62" s="33">
        <f>202600</f>
        <v>202600</v>
      </c>
      <c r="X62" s="33"/>
    </row>
    <row r="63" spans="1:24" s="1" customFormat="1" ht="33.75" customHeight="1">
      <c r="A63" s="30" t="s">
        <v>91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88</v>
      </c>
      <c r="M63" s="31"/>
      <c r="N63" s="31" t="s">
        <v>124</v>
      </c>
      <c r="O63" s="31"/>
      <c r="P63" s="32">
        <f>102900</f>
        <v>102900</v>
      </c>
      <c r="Q63" s="32"/>
      <c r="R63" s="32"/>
      <c r="S63" s="32">
        <f>41676</f>
        <v>41676</v>
      </c>
      <c r="T63" s="32"/>
      <c r="U63" s="32"/>
      <c r="V63" s="32"/>
      <c r="W63" s="33">
        <f>61224</f>
        <v>61224</v>
      </c>
      <c r="X63" s="33"/>
    </row>
    <row r="64" spans="1:24" s="1" customFormat="1" ht="13.5" customHeight="1">
      <c r="A64" s="30" t="s">
        <v>97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88</v>
      </c>
      <c r="M64" s="31"/>
      <c r="N64" s="31" t="s">
        <v>125</v>
      </c>
      <c r="O64" s="31"/>
      <c r="P64" s="32">
        <f>35000</f>
        <v>35000</v>
      </c>
      <c r="Q64" s="32"/>
      <c r="R64" s="32"/>
      <c r="S64" s="34" t="s">
        <v>46</v>
      </c>
      <c r="T64" s="34"/>
      <c r="U64" s="34"/>
      <c r="V64" s="34"/>
      <c r="W64" s="33">
        <f>35000</f>
        <v>35000</v>
      </c>
      <c r="X64" s="33"/>
    </row>
    <row r="65" spans="1:24" s="1" customFormat="1" ht="13.5" customHeight="1">
      <c r="A65" s="30" t="s">
        <v>97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88</v>
      </c>
      <c r="M65" s="31"/>
      <c r="N65" s="31" t="s">
        <v>126</v>
      </c>
      <c r="O65" s="31"/>
      <c r="P65" s="32">
        <f>5000</f>
        <v>5000</v>
      </c>
      <c r="Q65" s="32"/>
      <c r="R65" s="32"/>
      <c r="S65" s="32">
        <f>5000</f>
        <v>5000</v>
      </c>
      <c r="T65" s="32"/>
      <c r="U65" s="32"/>
      <c r="V65" s="32"/>
      <c r="W65" s="33">
        <f>0</f>
        <v>0</v>
      </c>
      <c r="X65" s="33"/>
    </row>
    <row r="66" spans="1:24" s="1" customFormat="1" ht="13.5" customHeight="1">
      <c r="A66" s="30" t="s">
        <v>97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88</v>
      </c>
      <c r="M66" s="31"/>
      <c r="N66" s="31" t="s">
        <v>127</v>
      </c>
      <c r="O66" s="31"/>
      <c r="P66" s="32">
        <f>50000</f>
        <v>50000</v>
      </c>
      <c r="Q66" s="32"/>
      <c r="R66" s="32"/>
      <c r="S66" s="34" t="s">
        <v>46</v>
      </c>
      <c r="T66" s="34"/>
      <c r="U66" s="34"/>
      <c r="V66" s="34"/>
      <c r="W66" s="33">
        <f>50000</f>
        <v>50000</v>
      </c>
      <c r="X66" s="33"/>
    </row>
    <row r="67" spans="1:24" s="1" customFormat="1" ht="13.5" customHeight="1">
      <c r="A67" s="30" t="s">
        <v>106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88</v>
      </c>
      <c r="M67" s="31"/>
      <c r="N67" s="31" t="s">
        <v>128</v>
      </c>
      <c r="O67" s="31"/>
      <c r="P67" s="32">
        <f>0</f>
        <v>0</v>
      </c>
      <c r="Q67" s="32"/>
      <c r="R67" s="32"/>
      <c r="S67" s="34" t="s">
        <v>46</v>
      </c>
      <c r="T67" s="34"/>
      <c r="U67" s="34"/>
      <c r="V67" s="34"/>
      <c r="W67" s="35" t="s">
        <v>46</v>
      </c>
      <c r="X67" s="35"/>
    </row>
    <row r="68" spans="1:24" s="1" customFormat="1" ht="13.5" customHeight="1">
      <c r="A68" s="30" t="s">
        <v>97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88</v>
      </c>
      <c r="M68" s="31"/>
      <c r="N68" s="31" t="s">
        <v>129</v>
      </c>
      <c r="O68" s="31"/>
      <c r="P68" s="32">
        <f>1031276.56</f>
        <v>1031276.56</v>
      </c>
      <c r="Q68" s="32"/>
      <c r="R68" s="32"/>
      <c r="S68" s="32">
        <f>928425</f>
        <v>928425</v>
      </c>
      <c r="T68" s="32"/>
      <c r="U68" s="32"/>
      <c r="V68" s="32"/>
      <c r="W68" s="33">
        <f>102851.56</f>
        <v>102851.56</v>
      </c>
      <c r="X68" s="33"/>
    </row>
    <row r="69" spans="1:24" s="1" customFormat="1" ht="13.5" customHeight="1">
      <c r="A69" s="30" t="s">
        <v>97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88</v>
      </c>
      <c r="M69" s="31"/>
      <c r="N69" s="31" t="s">
        <v>130</v>
      </c>
      <c r="O69" s="31"/>
      <c r="P69" s="32">
        <f>3073700</f>
        <v>3073700</v>
      </c>
      <c r="Q69" s="32"/>
      <c r="R69" s="32"/>
      <c r="S69" s="32">
        <f>4550</f>
        <v>4550</v>
      </c>
      <c r="T69" s="32"/>
      <c r="U69" s="32"/>
      <c r="V69" s="32"/>
      <c r="W69" s="33">
        <f>3069150</f>
        <v>3069150</v>
      </c>
      <c r="X69" s="33"/>
    </row>
    <row r="70" spans="1:24" s="1" customFormat="1" ht="13.5" customHeight="1">
      <c r="A70" s="30" t="s">
        <v>97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88</v>
      </c>
      <c r="M70" s="31"/>
      <c r="N70" s="31" t="s">
        <v>131</v>
      </c>
      <c r="O70" s="31"/>
      <c r="P70" s="32">
        <f>8772700</f>
        <v>8772700</v>
      </c>
      <c r="Q70" s="32"/>
      <c r="R70" s="32"/>
      <c r="S70" s="34" t="s">
        <v>46</v>
      </c>
      <c r="T70" s="34"/>
      <c r="U70" s="34"/>
      <c r="V70" s="34"/>
      <c r="W70" s="33">
        <f>8772700</f>
        <v>8772700</v>
      </c>
      <c r="X70" s="33"/>
    </row>
    <row r="71" spans="1:24" s="1" customFormat="1" ht="13.5" customHeight="1">
      <c r="A71" s="30" t="s">
        <v>97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88</v>
      </c>
      <c r="M71" s="31"/>
      <c r="N71" s="31" t="s">
        <v>132</v>
      </c>
      <c r="O71" s="31"/>
      <c r="P71" s="32">
        <f>374800</f>
        <v>374800</v>
      </c>
      <c r="Q71" s="32"/>
      <c r="R71" s="32"/>
      <c r="S71" s="32">
        <f>1387.69</f>
        <v>1387.69</v>
      </c>
      <c r="T71" s="32"/>
      <c r="U71" s="32"/>
      <c r="V71" s="32"/>
      <c r="W71" s="33">
        <f>373412.31</f>
        <v>373412.31</v>
      </c>
      <c r="X71" s="33"/>
    </row>
    <row r="72" spans="1:24" s="1" customFormat="1" ht="13.5" customHeight="1">
      <c r="A72" s="30" t="s">
        <v>97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88</v>
      </c>
      <c r="M72" s="31"/>
      <c r="N72" s="31" t="s">
        <v>133</v>
      </c>
      <c r="O72" s="31"/>
      <c r="P72" s="32">
        <f>1000</f>
        <v>1000</v>
      </c>
      <c r="Q72" s="32"/>
      <c r="R72" s="32"/>
      <c r="S72" s="34" t="s">
        <v>46</v>
      </c>
      <c r="T72" s="34"/>
      <c r="U72" s="34"/>
      <c r="V72" s="34"/>
      <c r="W72" s="33">
        <f>1000</f>
        <v>1000</v>
      </c>
      <c r="X72" s="33"/>
    </row>
    <row r="73" spans="1:24" s="1" customFormat="1" ht="13.5" customHeight="1">
      <c r="A73" s="30" t="s">
        <v>97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88</v>
      </c>
      <c r="M73" s="31"/>
      <c r="N73" s="31" t="s">
        <v>134</v>
      </c>
      <c r="O73" s="31"/>
      <c r="P73" s="32">
        <f>30000</f>
        <v>30000</v>
      </c>
      <c r="Q73" s="32"/>
      <c r="R73" s="32"/>
      <c r="S73" s="34" t="s">
        <v>46</v>
      </c>
      <c r="T73" s="34"/>
      <c r="U73" s="34"/>
      <c r="V73" s="34"/>
      <c r="W73" s="33">
        <f>30000</f>
        <v>30000</v>
      </c>
      <c r="X73" s="33"/>
    </row>
    <row r="74" spans="1:24" s="1" customFormat="1" ht="13.5" customHeight="1">
      <c r="A74" s="30" t="s">
        <v>97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88</v>
      </c>
      <c r="M74" s="31"/>
      <c r="N74" s="31" t="s">
        <v>135</v>
      </c>
      <c r="O74" s="31"/>
      <c r="P74" s="32">
        <f>30000</f>
        <v>30000</v>
      </c>
      <c r="Q74" s="32"/>
      <c r="R74" s="32"/>
      <c r="S74" s="34" t="s">
        <v>46</v>
      </c>
      <c r="T74" s="34"/>
      <c r="U74" s="34"/>
      <c r="V74" s="34"/>
      <c r="W74" s="33">
        <f>30000</f>
        <v>30000</v>
      </c>
      <c r="X74" s="33"/>
    </row>
    <row r="75" spans="1:24" s="1" customFormat="1" ht="13.5" customHeight="1">
      <c r="A75" s="30" t="s">
        <v>97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88</v>
      </c>
      <c r="M75" s="31"/>
      <c r="N75" s="31" t="s">
        <v>136</v>
      </c>
      <c r="O75" s="31"/>
      <c r="P75" s="32">
        <f>500000</f>
        <v>500000</v>
      </c>
      <c r="Q75" s="32"/>
      <c r="R75" s="32"/>
      <c r="S75" s="32">
        <f>198000</f>
        <v>198000</v>
      </c>
      <c r="T75" s="32"/>
      <c r="U75" s="32"/>
      <c r="V75" s="32"/>
      <c r="W75" s="33">
        <f>302000</f>
        <v>302000</v>
      </c>
      <c r="X75" s="33"/>
    </row>
    <row r="76" spans="1:24" s="1" customFormat="1" ht="13.5" customHeight="1">
      <c r="A76" s="30" t="s">
        <v>97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88</v>
      </c>
      <c r="M76" s="31"/>
      <c r="N76" s="31" t="s">
        <v>137</v>
      </c>
      <c r="O76" s="31"/>
      <c r="P76" s="32">
        <f>10000</f>
        <v>10000</v>
      </c>
      <c r="Q76" s="32"/>
      <c r="R76" s="32"/>
      <c r="S76" s="32">
        <f>5000</f>
        <v>5000</v>
      </c>
      <c r="T76" s="32"/>
      <c r="U76" s="32"/>
      <c r="V76" s="32"/>
      <c r="W76" s="33">
        <f>5000</f>
        <v>5000</v>
      </c>
      <c r="X76" s="33"/>
    </row>
    <row r="77" spans="1:24" s="1" customFormat="1" ht="13.5" customHeight="1">
      <c r="A77" s="30" t="s">
        <v>97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88</v>
      </c>
      <c r="M77" s="31"/>
      <c r="N77" s="31" t="s">
        <v>138</v>
      </c>
      <c r="O77" s="31"/>
      <c r="P77" s="32">
        <f>0</f>
        <v>0</v>
      </c>
      <c r="Q77" s="32"/>
      <c r="R77" s="32"/>
      <c r="S77" s="32">
        <f>0</f>
        <v>0</v>
      </c>
      <c r="T77" s="32"/>
      <c r="U77" s="32"/>
      <c r="V77" s="32"/>
      <c r="W77" s="35" t="s">
        <v>46</v>
      </c>
      <c r="X77" s="35"/>
    </row>
    <row r="78" spans="1:24" s="1" customFormat="1" ht="33.75" customHeight="1">
      <c r="A78" s="30" t="s">
        <v>139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88</v>
      </c>
      <c r="M78" s="31"/>
      <c r="N78" s="31" t="s">
        <v>140</v>
      </c>
      <c r="O78" s="31"/>
      <c r="P78" s="32">
        <f>300000</f>
        <v>300000</v>
      </c>
      <c r="Q78" s="32"/>
      <c r="R78" s="32"/>
      <c r="S78" s="34" t="s">
        <v>46</v>
      </c>
      <c r="T78" s="34"/>
      <c r="U78" s="34"/>
      <c r="V78" s="34"/>
      <c r="W78" s="33">
        <f>300000</f>
        <v>300000</v>
      </c>
      <c r="X78" s="33"/>
    </row>
    <row r="79" spans="1:24" s="1" customFormat="1" ht="13.5" customHeight="1">
      <c r="A79" s="30" t="s">
        <v>97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88</v>
      </c>
      <c r="M79" s="31"/>
      <c r="N79" s="31" t="s">
        <v>141</v>
      </c>
      <c r="O79" s="31"/>
      <c r="P79" s="32">
        <f>660000</f>
        <v>660000</v>
      </c>
      <c r="Q79" s="32"/>
      <c r="R79" s="32"/>
      <c r="S79" s="32">
        <f>392000</f>
        <v>392000</v>
      </c>
      <c r="T79" s="32"/>
      <c r="U79" s="32"/>
      <c r="V79" s="32"/>
      <c r="W79" s="33">
        <f>268000</f>
        <v>268000</v>
      </c>
      <c r="X79" s="33"/>
    </row>
    <row r="80" spans="1:24" s="1" customFormat="1" ht="13.5" customHeight="1">
      <c r="A80" s="30" t="s">
        <v>97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88</v>
      </c>
      <c r="M80" s="31"/>
      <c r="N80" s="31" t="s">
        <v>142</v>
      </c>
      <c r="O80" s="31"/>
      <c r="P80" s="32">
        <f>200000</f>
        <v>200000</v>
      </c>
      <c r="Q80" s="32"/>
      <c r="R80" s="32"/>
      <c r="S80" s="32">
        <f>11336.7</f>
        <v>11336.7</v>
      </c>
      <c r="T80" s="32"/>
      <c r="U80" s="32"/>
      <c r="V80" s="32"/>
      <c r="W80" s="33">
        <f>188663.3</f>
        <v>188663.3</v>
      </c>
      <c r="X80" s="33"/>
    </row>
    <row r="81" spans="1:24" s="1" customFormat="1" ht="13.5" customHeight="1">
      <c r="A81" s="30" t="s">
        <v>97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88</v>
      </c>
      <c r="M81" s="31"/>
      <c r="N81" s="31" t="s">
        <v>143</v>
      </c>
      <c r="O81" s="31"/>
      <c r="P81" s="32">
        <f>2004100</f>
        <v>2004100</v>
      </c>
      <c r="Q81" s="32"/>
      <c r="R81" s="32"/>
      <c r="S81" s="32">
        <f>778066.97</f>
        <v>778066.97</v>
      </c>
      <c r="T81" s="32"/>
      <c r="U81" s="32"/>
      <c r="V81" s="32"/>
      <c r="W81" s="33">
        <f>1226033.03</f>
        <v>1226033.03</v>
      </c>
      <c r="X81" s="33"/>
    </row>
    <row r="82" spans="1:24" s="1" customFormat="1" ht="13.5" customHeight="1">
      <c r="A82" s="30" t="s">
        <v>97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88</v>
      </c>
      <c r="M82" s="31"/>
      <c r="N82" s="31" t="s">
        <v>144</v>
      </c>
      <c r="O82" s="31"/>
      <c r="P82" s="32">
        <f>50000</f>
        <v>50000</v>
      </c>
      <c r="Q82" s="32"/>
      <c r="R82" s="32"/>
      <c r="S82" s="34" t="s">
        <v>46</v>
      </c>
      <c r="T82" s="34"/>
      <c r="U82" s="34"/>
      <c r="V82" s="34"/>
      <c r="W82" s="33">
        <f>50000</f>
        <v>50000</v>
      </c>
      <c r="X82" s="33"/>
    </row>
    <row r="83" spans="1:24" s="1" customFormat="1" ht="13.5" customHeight="1">
      <c r="A83" s="30" t="s">
        <v>97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88</v>
      </c>
      <c r="M83" s="31"/>
      <c r="N83" s="31" t="s">
        <v>145</v>
      </c>
      <c r="O83" s="31"/>
      <c r="P83" s="32">
        <f>50000</f>
        <v>50000</v>
      </c>
      <c r="Q83" s="32"/>
      <c r="R83" s="32"/>
      <c r="S83" s="34" t="s">
        <v>46</v>
      </c>
      <c r="T83" s="34"/>
      <c r="U83" s="34"/>
      <c r="V83" s="34"/>
      <c r="W83" s="33">
        <f>50000</f>
        <v>50000</v>
      </c>
      <c r="X83" s="33"/>
    </row>
    <row r="84" spans="1:24" s="1" customFormat="1" ht="13.5" customHeight="1">
      <c r="A84" s="30" t="s">
        <v>97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88</v>
      </c>
      <c r="M84" s="31"/>
      <c r="N84" s="31" t="s">
        <v>146</v>
      </c>
      <c r="O84" s="31"/>
      <c r="P84" s="32">
        <f>58500</f>
        <v>58500</v>
      </c>
      <c r="Q84" s="32"/>
      <c r="R84" s="32"/>
      <c r="S84" s="34" t="s">
        <v>46</v>
      </c>
      <c r="T84" s="34"/>
      <c r="U84" s="34"/>
      <c r="V84" s="34"/>
      <c r="W84" s="33">
        <f>58500</f>
        <v>58500</v>
      </c>
      <c r="X84" s="33"/>
    </row>
    <row r="85" spans="1:24" s="1" customFormat="1" ht="13.5" customHeight="1">
      <c r="A85" s="30" t="s">
        <v>97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88</v>
      </c>
      <c r="M85" s="31"/>
      <c r="N85" s="31" t="s">
        <v>147</v>
      </c>
      <c r="O85" s="31"/>
      <c r="P85" s="32">
        <f>797531.52</f>
        <v>797531.52</v>
      </c>
      <c r="Q85" s="32"/>
      <c r="R85" s="32"/>
      <c r="S85" s="32">
        <f>392856.92</f>
        <v>392856.92</v>
      </c>
      <c r="T85" s="32"/>
      <c r="U85" s="32"/>
      <c r="V85" s="32"/>
      <c r="W85" s="33">
        <f>404674.6</f>
        <v>404674.6</v>
      </c>
      <c r="X85" s="33"/>
    </row>
    <row r="86" spans="1:24" s="1" customFormat="1" ht="13.5" customHeight="1">
      <c r="A86" s="30" t="s">
        <v>97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88</v>
      </c>
      <c r="M86" s="31"/>
      <c r="N86" s="31" t="s">
        <v>148</v>
      </c>
      <c r="O86" s="31"/>
      <c r="P86" s="32">
        <f>100000</f>
        <v>100000</v>
      </c>
      <c r="Q86" s="32"/>
      <c r="R86" s="32"/>
      <c r="S86" s="32">
        <f>90100</f>
        <v>90100</v>
      </c>
      <c r="T86" s="32"/>
      <c r="U86" s="32"/>
      <c r="V86" s="32"/>
      <c r="W86" s="33">
        <f>9900</f>
        <v>9900</v>
      </c>
      <c r="X86" s="33"/>
    </row>
    <row r="87" spans="1:24" s="1" customFormat="1" ht="13.5" customHeight="1">
      <c r="A87" s="30" t="s">
        <v>97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88</v>
      </c>
      <c r="M87" s="31"/>
      <c r="N87" s="31" t="s">
        <v>149</v>
      </c>
      <c r="O87" s="31"/>
      <c r="P87" s="32">
        <f>30000</f>
        <v>30000</v>
      </c>
      <c r="Q87" s="32"/>
      <c r="R87" s="32"/>
      <c r="S87" s="34" t="s">
        <v>46</v>
      </c>
      <c r="T87" s="34"/>
      <c r="U87" s="34"/>
      <c r="V87" s="34"/>
      <c r="W87" s="33">
        <f>30000</f>
        <v>30000</v>
      </c>
      <c r="X87" s="33"/>
    </row>
    <row r="88" spans="1:24" s="1" customFormat="1" ht="13.5" customHeight="1">
      <c r="A88" s="30" t="s">
        <v>97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88</v>
      </c>
      <c r="M88" s="31"/>
      <c r="N88" s="31" t="s">
        <v>150</v>
      </c>
      <c r="O88" s="31"/>
      <c r="P88" s="32">
        <f>854600</f>
        <v>854600</v>
      </c>
      <c r="Q88" s="32"/>
      <c r="R88" s="32"/>
      <c r="S88" s="32">
        <f>790038.93</f>
        <v>790038.93</v>
      </c>
      <c r="T88" s="32"/>
      <c r="U88" s="32"/>
      <c r="V88" s="32"/>
      <c r="W88" s="33">
        <f>64561.07</f>
        <v>64561.07</v>
      </c>
      <c r="X88" s="33"/>
    </row>
    <row r="89" spans="1:24" s="1" customFormat="1" ht="13.5" customHeight="1">
      <c r="A89" s="30" t="s">
        <v>97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88</v>
      </c>
      <c r="M89" s="31"/>
      <c r="N89" s="31" t="s">
        <v>151</v>
      </c>
      <c r="O89" s="31"/>
      <c r="P89" s="32">
        <f>50000</f>
        <v>50000</v>
      </c>
      <c r="Q89" s="32"/>
      <c r="R89" s="32"/>
      <c r="S89" s="34" t="s">
        <v>46</v>
      </c>
      <c r="T89" s="34"/>
      <c r="U89" s="34"/>
      <c r="V89" s="34"/>
      <c r="W89" s="33">
        <f>50000</f>
        <v>50000</v>
      </c>
      <c r="X89" s="33"/>
    </row>
    <row r="90" spans="1:24" s="1" customFormat="1" ht="13.5" customHeight="1">
      <c r="A90" s="30" t="s">
        <v>97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88</v>
      </c>
      <c r="M90" s="31"/>
      <c r="N90" s="31" t="s">
        <v>152</v>
      </c>
      <c r="O90" s="31"/>
      <c r="P90" s="32">
        <f>250000</f>
        <v>250000</v>
      </c>
      <c r="Q90" s="32"/>
      <c r="R90" s="32"/>
      <c r="S90" s="32">
        <f>121204.85</f>
        <v>121204.85</v>
      </c>
      <c r="T90" s="32"/>
      <c r="U90" s="32"/>
      <c r="V90" s="32"/>
      <c r="W90" s="33">
        <f>128795.15</f>
        <v>128795.15</v>
      </c>
      <c r="X90" s="33"/>
    </row>
    <row r="91" spans="1:24" s="1" customFormat="1" ht="13.5" customHeight="1">
      <c r="A91" s="30" t="s">
        <v>97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88</v>
      </c>
      <c r="M91" s="31"/>
      <c r="N91" s="31" t="s">
        <v>153</v>
      </c>
      <c r="O91" s="31"/>
      <c r="P91" s="32">
        <f>800000</f>
        <v>800000</v>
      </c>
      <c r="Q91" s="32"/>
      <c r="R91" s="32"/>
      <c r="S91" s="32">
        <f>149900</f>
        <v>149900</v>
      </c>
      <c r="T91" s="32"/>
      <c r="U91" s="32"/>
      <c r="V91" s="32"/>
      <c r="W91" s="33">
        <f>650100</f>
        <v>650100</v>
      </c>
      <c r="X91" s="33"/>
    </row>
    <row r="92" spans="1:24" s="1" customFormat="1" ht="13.5" customHeight="1">
      <c r="A92" s="30" t="s">
        <v>97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88</v>
      </c>
      <c r="M92" s="31"/>
      <c r="N92" s="31" t="s">
        <v>154</v>
      </c>
      <c r="O92" s="31"/>
      <c r="P92" s="32">
        <f>600000</f>
        <v>600000</v>
      </c>
      <c r="Q92" s="32"/>
      <c r="R92" s="32"/>
      <c r="S92" s="32">
        <f>600000</f>
        <v>600000</v>
      </c>
      <c r="T92" s="32"/>
      <c r="U92" s="32"/>
      <c r="V92" s="32"/>
      <c r="W92" s="33">
        <f>0</f>
        <v>0</v>
      </c>
      <c r="X92" s="33"/>
    </row>
    <row r="93" spans="1:24" s="1" customFormat="1" ht="13.5" customHeight="1">
      <c r="A93" s="30" t="s">
        <v>97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88</v>
      </c>
      <c r="M93" s="31"/>
      <c r="N93" s="31" t="s">
        <v>155</v>
      </c>
      <c r="O93" s="31"/>
      <c r="P93" s="32">
        <f>450000</f>
        <v>450000</v>
      </c>
      <c r="Q93" s="32"/>
      <c r="R93" s="32"/>
      <c r="S93" s="32">
        <f>449415</f>
        <v>449415</v>
      </c>
      <c r="T93" s="32"/>
      <c r="U93" s="32"/>
      <c r="V93" s="32"/>
      <c r="W93" s="33">
        <f>585</f>
        <v>585</v>
      </c>
      <c r="X93" s="33"/>
    </row>
    <row r="94" spans="1:24" s="1" customFormat="1" ht="13.5" customHeight="1">
      <c r="A94" s="30" t="s">
        <v>97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88</v>
      </c>
      <c r="M94" s="31"/>
      <c r="N94" s="31" t="s">
        <v>156</v>
      </c>
      <c r="O94" s="31"/>
      <c r="P94" s="32">
        <f>245000</f>
        <v>245000</v>
      </c>
      <c r="Q94" s="32"/>
      <c r="R94" s="32"/>
      <c r="S94" s="32">
        <f>244817.6</f>
        <v>244817.6</v>
      </c>
      <c r="T94" s="32"/>
      <c r="U94" s="32"/>
      <c r="V94" s="32"/>
      <c r="W94" s="33">
        <f>182.4</f>
        <v>182.4</v>
      </c>
      <c r="X94" s="33"/>
    </row>
    <row r="95" spans="1:24" s="1" customFormat="1" ht="33.75" customHeight="1">
      <c r="A95" s="30" t="s">
        <v>157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88</v>
      </c>
      <c r="M95" s="31"/>
      <c r="N95" s="31" t="s">
        <v>158</v>
      </c>
      <c r="O95" s="31"/>
      <c r="P95" s="32">
        <f>12728800</f>
        <v>12728800</v>
      </c>
      <c r="Q95" s="32"/>
      <c r="R95" s="32"/>
      <c r="S95" s="32">
        <f>5312500</f>
        <v>5312500</v>
      </c>
      <c r="T95" s="32"/>
      <c r="U95" s="32"/>
      <c r="V95" s="32"/>
      <c r="W95" s="33">
        <f>7416300</f>
        <v>7416300</v>
      </c>
      <c r="X95" s="33"/>
    </row>
    <row r="96" spans="1:24" s="1" customFormat="1" ht="33.75" customHeight="1">
      <c r="A96" s="30" t="s">
        <v>157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88</v>
      </c>
      <c r="M96" s="31"/>
      <c r="N96" s="31" t="s">
        <v>159</v>
      </c>
      <c r="O96" s="31"/>
      <c r="P96" s="32">
        <f>45000</f>
        <v>45000</v>
      </c>
      <c r="Q96" s="32"/>
      <c r="R96" s="32"/>
      <c r="S96" s="32">
        <f>45000</f>
        <v>45000</v>
      </c>
      <c r="T96" s="32"/>
      <c r="U96" s="32"/>
      <c r="V96" s="32"/>
      <c r="W96" s="33">
        <f>0</f>
        <v>0</v>
      </c>
      <c r="X96" s="33"/>
    </row>
    <row r="97" spans="1:24" s="1" customFormat="1" ht="13.5" customHeight="1">
      <c r="A97" s="30" t="s">
        <v>160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88</v>
      </c>
      <c r="M97" s="31"/>
      <c r="N97" s="31" t="s">
        <v>161</v>
      </c>
      <c r="O97" s="31"/>
      <c r="P97" s="32">
        <f>192000</f>
        <v>192000</v>
      </c>
      <c r="Q97" s="32"/>
      <c r="R97" s="32"/>
      <c r="S97" s="34" t="s">
        <v>46</v>
      </c>
      <c r="T97" s="34"/>
      <c r="U97" s="34"/>
      <c r="V97" s="34"/>
      <c r="W97" s="33">
        <f>192000</f>
        <v>192000</v>
      </c>
      <c r="X97" s="33"/>
    </row>
    <row r="98" spans="1:24" s="1" customFormat="1" ht="13.5" customHeight="1">
      <c r="A98" s="30" t="s">
        <v>97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 t="s">
        <v>88</v>
      </c>
      <c r="M98" s="31"/>
      <c r="N98" s="31" t="s">
        <v>162</v>
      </c>
      <c r="O98" s="31"/>
      <c r="P98" s="32">
        <f>100000</f>
        <v>100000</v>
      </c>
      <c r="Q98" s="32"/>
      <c r="R98" s="32"/>
      <c r="S98" s="32">
        <f>99218</f>
        <v>99218</v>
      </c>
      <c r="T98" s="32"/>
      <c r="U98" s="32"/>
      <c r="V98" s="32"/>
      <c r="W98" s="33">
        <f>782</f>
        <v>782</v>
      </c>
      <c r="X98" s="33"/>
    </row>
    <row r="99" spans="1:24" s="1" customFormat="1" ht="13.5" customHeight="1">
      <c r="A99" s="30" t="s">
        <v>97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 t="s">
        <v>88</v>
      </c>
      <c r="M99" s="31"/>
      <c r="N99" s="31" t="s">
        <v>163</v>
      </c>
      <c r="O99" s="31"/>
      <c r="P99" s="32">
        <f>150000</f>
        <v>150000</v>
      </c>
      <c r="Q99" s="32"/>
      <c r="R99" s="32"/>
      <c r="S99" s="34" t="s">
        <v>46</v>
      </c>
      <c r="T99" s="34"/>
      <c r="U99" s="34"/>
      <c r="V99" s="34"/>
      <c r="W99" s="33">
        <f>150000</f>
        <v>150000</v>
      </c>
      <c r="X99" s="33"/>
    </row>
    <row r="100" spans="1:24" s="1" customFormat="1" ht="13.5" customHeight="1">
      <c r="A100" s="30" t="s">
        <v>97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1" t="s">
        <v>88</v>
      </c>
      <c r="M100" s="31"/>
      <c r="N100" s="31" t="s">
        <v>164</v>
      </c>
      <c r="O100" s="31"/>
      <c r="P100" s="32">
        <f>50000</f>
        <v>50000</v>
      </c>
      <c r="Q100" s="32"/>
      <c r="R100" s="32"/>
      <c r="S100" s="34" t="s">
        <v>46</v>
      </c>
      <c r="T100" s="34"/>
      <c r="U100" s="34"/>
      <c r="V100" s="34"/>
      <c r="W100" s="33">
        <f>50000</f>
        <v>50000</v>
      </c>
      <c r="X100" s="33"/>
    </row>
    <row r="101" spans="1:24" s="1" customFormat="1" ht="13.5" customHeight="1">
      <c r="A101" s="30" t="s">
        <v>165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1" t="s">
        <v>88</v>
      </c>
      <c r="M101" s="31"/>
      <c r="N101" s="31" t="s">
        <v>166</v>
      </c>
      <c r="O101" s="31"/>
      <c r="P101" s="32">
        <f>280000</f>
        <v>280000</v>
      </c>
      <c r="Q101" s="32"/>
      <c r="R101" s="32"/>
      <c r="S101" s="32">
        <f>125040.6</f>
        <v>125040.6</v>
      </c>
      <c r="T101" s="32"/>
      <c r="U101" s="32"/>
      <c r="V101" s="32"/>
      <c r="W101" s="33">
        <f>154959.4</f>
        <v>154959.4</v>
      </c>
      <c r="X101" s="33"/>
    </row>
    <row r="102" spans="1:24" s="1" customFormat="1" ht="33.75" customHeight="1">
      <c r="A102" s="30" t="s">
        <v>157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1" t="s">
        <v>88</v>
      </c>
      <c r="M102" s="31"/>
      <c r="N102" s="31" t="s">
        <v>167</v>
      </c>
      <c r="O102" s="31"/>
      <c r="P102" s="32">
        <f>1480200</f>
        <v>1480200</v>
      </c>
      <c r="Q102" s="32"/>
      <c r="R102" s="32"/>
      <c r="S102" s="32">
        <f>675000</f>
        <v>675000</v>
      </c>
      <c r="T102" s="32"/>
      <c r="U102" s="32"/>
      <c r="V102" s="32"/>
      <c r="W102" s="33">
        <f>805200</f>
        <v>805200</v>
      </c>
      <c r="X102" s="33"/>
    </row>
    <row r="103" spans="1:24" s="1" customFormat="1" ht="13.5" customHeight="1">
      <c r="A103" s="30" t="s">
        <v>97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1" t="s">
        <v>88</v>
      </c>
      <c r="M103" s="31"/>
      <c r="N103" s="31" t="s">
        <v>168</v>
      </c>
      <c r="O103" s="31"/>
      <c r="P103" s="32">
        <f>500000</f>
        <v>500000</v>
      </c>
      <c r="Q103" s="32"/>
      <c r="R103" s="32"/>
      <c r="S103" s="32">
        <f>267211</f>
        <v>267211</v>
      </c>
      <c r="T103" s="32"/>
      <c r="U103" s="32"/>
      <c r="V103" s="32"/>
      <c r="W103" s="33">
        <f>232789</f>
        <v>232789</v>
      </c>
      <c r="X103" s="33"/>
    </row>
    <row r="104" spans="1:24" s="1" customFormat="1" ht="15" customHeight="1">
      <c r="A104" s="36" t="s">
        <v>169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7" t="s">
        <v>170</v>
      </c>
      <c r="M104" s="37"/>
      <c r="N104" s="37" t="s">
        <v>37</v>
      </c>
      <c r="O104" s="37"/>
      <c r="P104" s="38">
        <f>-3041308.08</f>
        <v>-3041308.08</v>
      </c>
      <c r="Q104" s="38"/>
      <c r="R104" s="38"/>
      <c r="S104" s="38">
        <f>-2273279.71</f>
        <v>-2273279.71</v>
      </c>
      <c r="T104" s="38"/>
      <c r="U104" s="38"/>
      <c r="V104" s="38"/>
      <c r="W104" s="39" t="s">
        <v>37</v>
      </c>
      <c r="X104" s="39"/>
    </row>
    <row r="105" spans="1:24" s="1" customFormat="1" ht="13.5" customHeight="1">
      <c r="A105" s="7" t="s">
        <v>13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</row>
    <row r="106" spans="1:24" s="1" customFormat="1" ht="13.5" customHeight="1">
      <c r="A106" s="12" t="s">
        <v>171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s="1" customFormat="1" ht="45.75" customHeight="1">
      <c r="A107" s="13" t="s">
        <v>23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 t="s">
        <v>24</v>
      </c>
      <c r="M107" s="13"/>
      <c r="N107" s="13" t="s">
        <v>172</v>
      </c>
      <c r="O107" s="13"/>
      <c r="P107" s="14" t="s">
        <v>26</v>
      </c>
      <c r="Q107" s="14"/>
      <c r="R107" s="14"/>
      <c r="S107" s="14" t="s">
        <v>27</v>
      </c>
      <c r="T107" s="14"/>
      <c r="U107" s="14"/>
      <c r="V107" s="14"/>
      <c r="W107" s="15" t="s">
        <v>28</v>
      </c>
      <c r="X107" s="15"/>
    </row>
    <row r="108" spans="1:24" s="1" customFormat="1" ht="12.75" customHeight="1">
      <c r="A108" s="16" t="s">
        <v>29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 t="s">
        <v>30</v>
      </c>
      <c r="M108" s="16"/>
      <c r="N108" s="16" t="s">
        <v>31</v>
      </c>
      <c r="O108" s="16"/>
      <c r="P108" s="17" t="s">
        <v>32</v>
      </c>
      <c r="Q108" s="17"/>
      <c r="R108" s="17"/>
      <c r="S108" s="17" t="s">
        <v>33</v>
      </c>
      <c r="T108" s="17"/>
      <c r="U108" s="17"/>
      <c r="V108" s="17"/>
      <c r="W108" s="18" t="s">
        <v>34</v>
      </c>
      <c r="X108" s="18"/>
    </row>
    <row r="109" spans="1:24" s="1" customFormat="1" ht="13.5" customHeight="1">
      <c r="A109" s="19" t="s">
        <v>173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20" t="s">
        <v>174</v>
      </c>
      <c r="M109" s="20"/>
      <c r="N109" s="20" t="s">
        <v>37</v>
      </c>
      <c r="O109" s="20"/>
      <c r="P109" s="40">
        <f>3041308.08</f>
        <v>3041308.08</v>
      </c>
      <c r="Q109" s="40"/>
      <c r="R109" s="40"/>
      <c r="S109" s="21">
        <f>2273279.71</f>
        <v>2273279.71</v>
      </c>
      <c r="T109" s="21"/>
      <c r="U109" s="21"/>
      <c r="V109" s="21"/>
      <c r="W109" s="41" t="s">
        <v>37</v>
      </c>
      <c r="X109" s="41"/>
    </row>
    <row r="110" spans="1:24" s="1" customFormat="1" ht="13.5" customHeight="1">
      <c r="A110" s="42" t="s">
        <v>175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3" t="s">
        <v>13</v>
      </c>
      <c r="M110" s="43"/>
      <c r="N110" s="43" t="s">
        <v>13</v>
      </c>
      <c r="O110" s="43"/>
      <c r="P110" s="44" t="s">
        <v>13</v>
      </c>
      <c r="Q110" s="44"/>
      <c r="R110" s="44"/>
      <c r="S110" s="45" t="s">
        <v>13</v>
      </c>
      <c r="T110" s="45"/>
      <c r="U110" s="45"/>
      <c r="V110" s="45"/>
      <c r="W110" s="46" t="s">
        <v>13</v>
      </c>
      <c r="X110" s="46"/>
    </row>
    <row r="111" spans="1:24" s="1" customFormat="1" ht="13.5" customHeight="1">
      <c r="A111" s="23" t="s">
        <v>176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47" t="s">
        <v>177</v>
      </c>
      <c r="M111" s="47"/>
      <c r="N111" s="24" t="s">
        <v>37</v>
      </c>
      <c r="O111" s="24"/>
      <c r="P111" s="48" t="s">
        <v>46</v>
      </c>
      <c r="Q111" s="48"/>
      <c r="R111" s="48"/>
      <c r="S111" s="27" t="s">
        <v>46</v>
      </c>
      <c r="T111" s="27"/>
      <c r="U111" s="27"/>
      <c r="V111" s="27"/>
      <c r="W111" s="49" t="s">
        <v>46</v>
      </c>
      <c r="X111" s="49"/>
    </row>
    <row r="112" spans="1:24" s="1" customFormat="1" ht="13.5" customHeight="1">
      <c r="A112" s="30" t="s">
        <v>13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1" t="s">
        <v>177</v>
      </c>
      <c r="M112" s="31"/>
      <c r="N112" s="31" t="s">
        <v>13</v>
      </c>
      <c r="O112" s="31"/>
      <c r="P112" s="50" t="s">
        <v>46</v>
      </c>
      <c r="Q112" s="50"/>
      <c r="R112" s="50"/>
      <c r="S112" s="34" t="s">
        <v>46</v>
      </c>
      <c r="T112" s="34"/>
      <c r="U112" s="34"/>
      <c r="V112" s="34"/>
      <c r="W112" s="51" t="s">
        <v>46</v>
      </c>
      <c r="X112" s="51"/>
    </row>
    <row r="113" spans="1:24" s="1" customFormat="1" ht="13.5" customHeight="1">
      <c r="A113" s="30" t="s">
        <v>178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43" t="s">
        <v>179</v>
      </c>
      <c r="M113" s="43"/>
      <c r="N113" s="43" t="s">
        <v>37</v>
      </c>
      <c r="O113" s="43"/>
      <c r="P113" s="44" t="s">
        <v>46</v>
      </c>
      <c r="Q113" s="44"/>
      <c r="R113" s="44"/>
      <c r="S113" s="34" t="s">
        <v>46</v>
      </c>
      <c r="T113" s="34"/>
      <c r="U113" s="34"/>
      <c r="V113" s="34"/>
      <c r="W113" s="46" t="s">
        <v>46</v>
      </c>
      <c r="X113" s="46"/>
    </row>
    <row r="114" spans="1:24" s="1" customFormat="1" ht="13.5" customHeight="1">
      <c r="A114" s="30" t="s">
        <v>13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1" t="s">
        <v>179</v>
      </c>
      <c r="M114" s="31"/>
      <c r="N114" s="31" t="s">
        <v>13</v>
      </c>
      <c r="O114" s="31"/>
      <c r="P114" s="50" t="s">
        <v>46</v>
      </c>
      <c r="Q114" s="50"/>
      <c r="R114" s="50"/>
      <c r="S114" s="34" t="s">
        <v>46</v>
      </c>
      <c r="T114" s="34"/>
      <c r="U114" s="34"/>
      <c r="V114" s="34"/>
      <c r="W114" s="51" t="s">
        <v>46</v>
      </c>
      <c r="X114" s="51"/>
    </row>
    <row r="115" spans="1:24" s="1" customFormat="1" ht="13.5" customHeight="1">
      <c r="A115" s="30" t="s">
        <v>180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1" t="s">
        <v>181</v>
      </c>
      <c r="M115" s="31"/>
      <c r="N115" s="31" t="s">
        <v>182</v>
      </c>
      <c r="O115" s="31"/>
      <c r="P115" s="52">
        <f>3041308.08</f>
        <v>3041308.08</v>
      </c>
      <c r="Q115" s="52"/>
      <c r="R115" s="52"/>
      <c r="S115" s="32">
        <f>2273279.71</f>
        <v>2273279.71</v>
      </c>
      <c r="T115" s="32"/>
      <c r="U115" s="32"/>
      <c r="V115" s="32"/>
      <c r="W115" s="53">
        <f>768028.37</f>
        <v>768028.37</v>
      </c>
      <c r="X115" s="53"/>
    </row>
    <row r="116" spans="1:24" s="1" customFormat="1" ht="13.5" customHeight="1">
      <c r="A116" s="30" t="s">
        <v>183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1" t="s">
        <v>184</v>
      </c>
      <c r="M116" s="31"/>
      <c r="N116" s="31" t="s">
        <v>185</v>
      </c>
      <c r="O116" s="31"/>
      <c r="P116" s="52">
        <f>-52024500</f>
        <v>-52024500</v>
      </c>
      <c r="Q116" s="52"/>
      <c r="R116" s="52"/>
      <c r="S116" s="32">
        <f>-17290863.07</f>
        <v>-17290863.07</v>
      </c>
      <c r="T116" s="32"/>
      <c r="U116" s="32"/>
      <c r="V116" s="32"/>
      <c r="W116" s="54" t="s">
        <v>37</v>
      </c>
      <c r="X116" s="54"/>
    </row>
    <row r="117" spans="1:24" s="1" customFormat="1" ht="13.5" customHeight="1">
      <c r="A117" s="30" t="s">
        <v>186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1" t="s">
        <v>187</v>
      </c>
      <c r="M117" s="31"/>
      <c r="N117" s="31" t="s">
        <v>188</v>
      </c>
      <c r="O117" s="31"/>
      <c r="P117" s="52">
        <f>55065808.08</f>
        <v>55065808.08</v>
      </c>
      <c r="Q117" s="52"/>
      <c r="R117" s="52"/>
      <c r="S117" s="32">
        <f>19564142.78</f>
        <v>19564142.78</v>
      </c>
      <c r="T117" s="32"/>
      <c r="U117" s="32"/>
      <c r="V117" s="32"/>
      <c r="W117" s="54" t="s">
        <v>37</v>
      </c>
      <c r="X117" s="54"/>
    </row>
    <row r="118" spans="1:24" s="1" customFormat="1" ht="13.5" customHeight="1">
      <c r="A118" s="56" t="s">
        <v>13</v>
      </c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</row>
    <row r="119" spans="1:24" s="1" customFormat="1" ht="13.5" customHeight="1">
      <c r="A119" s="7" t="s">
        <v>13</v>
      </c>
      <c r="B119" s="7"/>
      <c r="C119" s="7"/>
      <c r="D119" s="7"/>
      <c r="E119" s="7"/>
      <c r="F119" s="7"/>
      <c r="G119" s="7"/>
      <c r="H119" s="7"/>
      <c r="I119" s="55" t="s">
        <v>13</v>
      </c>
      <c r="J119" s="55"/>
      <c r="K119" s="55"/>
      <c r="L119" s="55"/>
      <c r="M119" s="55"/>
      <c r="N119" s="55" t="s">
        <v>189</v>
      </c>
      <c r="O119" s="55"/>
      <c r="P119" s="55"/>
      <c r="Q119" s="55"/>
      <c r="R119" s="7" t="s">
        <v>13</v>
      </c>
      <c r="S119" s="7"/>
      <c r="T119" s="7"/>
      <c r="U119" s="7"/>
      <c r="V119" s="7"/>
      <c r="W119" s="7"/>
      <c r="X119" s="7"/>
    </row>
    <row r="120" spans="1:24" s="1" customFormat="1" ht="13.5" customHeight="1">
      <c r="A120" s="7" t="s">
        <v>13</v>
      </c>
      <c r="B120" s="7"/>
      <c r="C120" s="7"/>
      <c r="D120" s="7"/>
      <c r="E120" s="7"/>
      <c r="F120" s="7"/>
      <c r="G120" s="7"/>
      <c r="H120" s="7"/>
      <c r="I120" s="10" t="s">
        <v>13</v>
      </c>
      <c r="J120" s="57" t="s">
        <v>190</v>
      </c>
      <c r="K120" s="57"/>
      <c r="L120" s="57"/>
      <c r="M120" s="10" t="s">
        <v>13</v>
      </c>
      <c r="N120" s="10" t="s">
        <v>13</v>
      </c>
      <c r="O120" s="57" t="s">
        <v>191</v>
      </c>
      <c r="P120" s="57"/>
      <c r="Q120" s="7" t="s">
        <v>13</v>
      </c>
      <c r="R120" s="7"/>
      <c r="S120" s="7"/>
      <c r="T120" s="7"/>
      <c r="U120" s="7"/>
      <c r="V120" s="7"/>
      <c r="W120" s="7"/>
      <c r="X120" s="7"/>
    </row>
    <row r="121" spans="1:24" s="1" customFormat="1" ht="7.5" customHeight="1">
      <c r="A121" s="7" t="s">
        <v>13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</row>
    <row r="122" spans="1:24" s="1" customFormat="1" ht="13.5" customHeight="1">
      <c r="A122" s="7" t="s">
        <v>13</v>
      </c>
      <c r="B122" s="7"/>
      <c r="C122" s="7"/>
      <c r="D122" s="7"/>
      <c r="E122" s="7"/>
      <c r="F122" s="7"/>
      <c r="G122" s="7"/>
      <c r="H122" s="7"/>
      <c r="I122" s="55" t="s">
        <v>13</v>
      </c>
      <c r="J122" s="55"/>
      <c r="K122" s="55"/>
      <c r="L122" s="55"/>
      <c r="M122" s="55"/>
      <c r="N122" s="55" t="s">
        <v>192</v>
      </c>
      <c r="O122" s="55"/>
      <c r="P122" s="55"/>
      <c r="Q122" s="55"/>
      <c r="R122" s="7" t="s">
        <v>13</v>
      </c>
      <c r="S122" s="7"/>
      <c r="T122" s="7"/>
      <c r="U122" s="7"/>
      <c r="V122" s="7"/>
      <c r="W122" s="7"/>
      <c r="X122" s="7"/>
    </row>
    <row r="123" spans="1:24" s="1" customFormat="1" ht="13.5" customHeight="1">
      <c r="A123" s="7" t="s">
        <v>13</v>
      </c>
      <c r="B123" s="7"/>
      <c r="C123" s="7"/>
      <c r="D123" s="7"/>
      <c r="E123" s="7"/>
      <c r="F123" s="7"/>
      <c r="G123" s="7"/>
      <c r="H123" s="7"/>
      <c r="I123" s="10" t="s">
        <v>13</v>
      </c>
      <c r="J123" s="57" t="s">
        <v>190</v>
      </c>
      <c r="K123" s="57"/>
      <c r="L123" s="57"/>
      <c r="M123" s="10" t="s">
        <v>13</v>
      </c>
      <c r="N123" s="10" t="s">
        <v>13</v>
      </c>
      <c r="O123" s="57" t="s">
        <v>191</v>
      </c>
      <c r="P123" s="57"/>
      <c r="Q123" s="7" t="s">
        <v>13</v>
      </c>
      <c r="R123" s="7"/>
      <c r="S123" s="7"/>
      <c r="T123" s="7"/>
      <c r="U123" s="7"/>
      <c r="V123" s="7"/>
      <c r="W123" s="7"/>
      <c r="X123" s="7"/>
    </row>
    <row r="124" spans="1:24" s="1" customFormat="1" ht="7.5" customHeight="1">
      <c r="A124" s="7" t="s">
        <v>13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</row>
    <row r="125" spans="1:24" s="1" customFormat="1" ht="13.5" customHeight="1">
      <c r="A125" s="7" t="s">
        <v>193</v>
      </c>
      <c r="B125" s="7"/>
      <c r="C125" s="55" t="s">
        <v>13</v>
      </c>
      <c r="D125" s="55"/>
      <c r="E125" s="55"/>
      <c r="F125" s="55"/>
      <c r="G125" s="55"/>
      <c r="H125" s="55"/>
      <c r="I125" s="55" t="s">
        <v>13</v>
      </c>
      <c r="J125" s="55"/>
      <c r="K125" s="55"/>
      <c r="L125" s="55"/>
      <c r="M125" s="55"/>
      <c r="N125" s="55" t="s">
        <v>194</v>
      </c>
      <c r="O125" s="55"/>
      <c r="P125" s="55"/>
      <c r="Q125" s="55"/>
      <c r="R125" s="7" t="s">
        <v>13</v>
      </c>
      <c r="S125" s="7"/>
      <c r="T125" s="7"/>
      <c r="U125" s="7"/>
      <c r="V125" s="7"/>
      <c r="W125" s="7"/>
      <c r="X125" s="7"/>
    </row>
    <row r="126" spans="1:24" s="1" customFormat="1" ht="13.5" customHeight="1">
      <c r="A126" s="7" t="s">
        <v>13</v>
      </c>
      <c r="B126" s="7"/>
      <c r="C126" s="10" t="s">
        <v>13</v>
      </c>
      <c r="D126" s="57" t="s">
        <v>195</v>
      </c>
      <c r="E126" s="57"/>
      <c r="F126" s="57"/>
      <c r="G126" s="57"/>
      <c r="H126" s="10" t="s">
        <v>13</v>
      </c>
      <c r="I126" s="10" t="s">
        <v>13</v>
      </c>
      <c r="J126" s="57" t="s">
        <v>190</v>
      </c>
      <c r="K126" s="57"/>
      <c r="L126" s="57"/>
      <c r="M126" s="10" t="s">
        <v>13</v>
      </c>
      <c r="N126" s="10" t="s">
        <v>13</v>
      </c>
      <c r="O126" s="57" t="s">
        <v>191</v>
      </c>
      <c r="P126" s="57"/>
      <c r="Q126" s="7" t="s">
        <v>13</v>
      </c>
      <c r="R126" s="7"/>
      <c r="S126" s="7"/>
      <c r="T126" s="7"/>
      <c r="U126" s="7"/>
      <c r="V126" s="7"/>
      <c r="W126" s="7"/>
      <c r="X126" s="7"/>
    </row>
    <row r="127" spans="1:24" s="1" customFormat="1" ht="15.75" customHeight="1">
      <c r="A127" s="7" t="s">
        <v>13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</row>
    <row r="128" spans="1:24" s="1" customFormat="1" ht="13.5" customHeight="1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7" t="s">
        <v>13</v>
      </c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</row>
    <row r="129" spans="1:24" s="1" customFormat="1" ht="13.5" customHeight="1">
      <c r="A129" s="4" t="s">
        <v>196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</sheetData>
  <sheetProtection/>
  <mergeCells count="677">
    <mergeCell ref="A128:J128"/>
    <mergeCell ref="K128:X128"/>
    <mergeCell ref="A129:X129"/>
    <mergeCell ref="A126:B126"/>
    <mergeCell ref="D126:G126"/>
    <mergeCell ref="J126:L126"/>
    <mergeCell ref="O126:P126"/>
    <mergeCell ref="Q126:X126"/>
    <mergeCell ref="A127:X127"/>
    <mergeCell ref="A124:X124"/>
    <mergeCell ref="A125:B125"/>
    <mergeCell ref="C125:H125"/>
    <mergeCell ref="I125:M125"/>
    <mergeCell ref="N125:Q125"/>
    <mergeCell ref="R125:X125"/>
    <mergeCell ref="A121:X121"/>
    <mergeCell ref="A122:H122"/>
    <mergeCell ref="I122:M122"/>
    <mergeCell ref="N122:Q122"/>
    <mergeCell ref="R122:X122"/>
    <mergeCell ref="A123:H123"/>
    <mergeCell ref="J123:L123"/>
    <mergeCell ref="O123:P123"/>
    <mergeCell ref="Q123:X123"/>
    <mergeCell ref="A118:X118"/>
    <mergeCell ref="A119:H119"/>
    <mergeCell ref="I119:M119"/>
    <mergeCell ref="N119:Q119"/>
    <mergeCell ref="R119:X119"/>
    <mergeCell ref="A120:H120"/>
    <mergeCell ref="J120:L120"/>
    <mergeCell ref="O120:P120"/>
    <mergeCell ref="Q120:X120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4:K114"/>
    <mergeCell ref="L114:M114"/>
    <mergeCell ref="N114:O114"/>
    <mergeCell ref="P114:R114"/>
    <mergeCell ref="S114:V114"/>
    <mergeCell ref="W114:X114"/>
    <mergeCell ref="A113:K113"/>
    <mergeCell ref="L113:M113"/>
    <mergeCell ref="N113:O113"/>
    <mergeCell ref="P113:R113"/>
    <mergeCell ref="S113:V113"/>
    <mergeCell ref="W113:X113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5:X105"/>
    <mergeCell ref="A106:X106"/>
    <mergeCell ref="A107:K107"/>
    <mergeCell ref="L107:M107"/>
    <mergeCell ref="N107:O107"/>
    <mergeCell ref="P107:R107"/>
    <mergeCell ref="S107:V107"/>
    <mergeCell ref="W107:X107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6:X36"/>
    <mergeCell ref="A37:X37"/>
    <mergeCell ref="A38:K38"/>
    <mergeCell ref="L38:M38"/>
    <mergeCell ref="N38:O38"/>
    <mergeCell ref="P38:R38"/>
    <mergeCell ref="S38:V38"/>
    <mergeCell ref="W38:X38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6" max="255" man="1"/>
    <brk id="10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2019-09-18T05:28:17Z</dcterms:created>
  <dcterms:modified xsi:type="dcterms:W3CDTF">2019-09-18T05:28:17Z</dcterms:modified>
  <cp:category/>
  <cp:version/>
  <cp:contentType/>
  <cp:contentStatus/>
</cp:coreProperties>
</file>