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<sst xmlns="http://schemas.openxmlformats.org/spreadsheetml/2006/main" count="487" uniqueCount="219">
  <si>
    <t>ОТЧЕТ ОБ ИСПОЛНЕНИИ БЮДЖЕТА</t>
  </si>
  <si>
    <t>КОДЫ</t>
  </si>
  <si>
    <t xml:space="preserve">Форма по ОКУД </t>
  </si>
  <si>
    <t>0503117</t>
  </si>
  <si>
    <t>на 1 декабря 2016 г.</t>
  </si>
  <si>
    <t xml:space="preserve">Дата </t>
  </si>
  <si>
    <t>Наименование финансового органа</t>
  </si>
  <si>
    <t>Администрация Пластуновского сельского поселения</t>
  </si>
  <si>
    <t xml:space="preserve">по ОКПО </t>
  </si>
  <si>
    <t xml:space="preserve">Глава по БК </t>
  </si>
  <si>
    <t>04090508</t>
  </si>
  <si>
    <t>992</t>
  </si>
  <si>
    <t>Наименование публично-правового образования</t>
  </si>
  <si>
    <t/>
  </si>
  <si>
    <t xml:space="preserve">по ОКТМО </t>
  </si>
  <si>
    <t>03614422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</si>
  <si>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</si>
  <si>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</si>
  <si>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</si>
  <si>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</si>
  <si>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</si>
  <si>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</si>
  <si>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</si>
  <si>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</si>
  <si>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</si>
  <si>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</si>
  <si>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</si>
  <si>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</si>
  <si>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</si>
  <si>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</si>
  <si>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</si>
  <si>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</si>
  <si>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</si>
  <si>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</si>
  <si>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</si>
  <si>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</si>
  <si>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</si>
  <si>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</si>
  <si>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</si>
  <si>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</si>
  <si>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</si>
  <si>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</si>
  <si>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</si>
  <si>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</si>
  <si>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</si>
  <si>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</si>
  <si>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-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</si>
  <si>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</si>
  <si>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161 11633050 10 0000 140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</si>
  <si>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</si>
  <si>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</si>
  <si>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</si>
  <si>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</si>
  <si>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</si>
  <si>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</si>
  <si>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</si>
  <si>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</si>
  <si>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</si>
  <si>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</si>
  <si>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</si>
  <si>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</si>
  <si>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</si>
  <si>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</si>
  <si>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</si>
  <si>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</si>
  <si>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(по обязательствам, возникшим до 1 января 2006 года), мобилизуемый на территориях сельских поселений</t>
  </si>
  <si>
    <t>182 10904053 10 0000 110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</si>
  <si>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</si>
  <si>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821 11651040 02 0000 140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</si>
  <si>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</si>
  <si>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</si>
  <si>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Доходы от сдачи в аренду имущества, составляющего казну сельских поселений (за исключением земельных участков)</t>
  </si>
  <si>
    <t>992 11105075 10 0000 120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</si>
  <si>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</si>
  <si>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992 11402052 10 0000 410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</si>
  <si>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</si>
  <si>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992 11402053 10 0000 410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</si>
  <si>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сельских поселений</t>
  </si>
  <si>
    <t>992 11621050 10 0000 140</t>
  </si>
  <si>
    <t>Невыясненные поступления, зачисляемые в бюджеты сельских поселений</t>
  </si>
  <si>
    <t>992 11701050 10 0000 180</t>
  </si>
  <si>
    <t>Дотации бюджетам сельских поселений на выравнивание бюджетной обеспеченности</t>
  </si>
  <si>
    <t>992 20201001 10 0000 151</t>
  </si>
  <si>
    <t>Прочие субсидии бюджетам сельских поселений</t>
  </si>
  <si>
    <t>992 20202999 10 0000 151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</si>
  <si>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</si>
  <si>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992 20203015 10 0000 151</t>
  </si>
  <si>
    <t>Субвенции бюджетам сельских поселений на выполнение передаваемых полномочий субъектов Российской Федерации</t>
  </si>
  <si>
    <t>992 20203024 10 0000 151</t>
  </si>
  <si>
    <t>Прочие межбюджетные трансферты, передаваемые бюджетам сельских поселений</t>
  </si>
  <si>
    <t>992 20204999 10 0000 151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</si>
  <si>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</si>
  <si>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</si>
  <si>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</si>
  <si>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</si>
  <si>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</si>
  <si>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992 0102 5010000190 121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</si>
  <si>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</si>
  <si>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992 0102 5010000190 129</t>
  </si>
  <si>
    <t>992 0104 5110000190 121</t>
  </si>
  <si>
    <t>992 0104 5110000190 129</t>
  </si>
  <si>
    <t>Прочая закупка товаров, работ и услуг для обеспечения государственных (муниципальных) нужд</t>
  </si>
  <si>
    <t>992 0104 5110000190 244</t>
  </si>
  <si>
    <t>Уплата налога на имущество организаций и земельного налога</t>
  </si>
  <si>
    <t>992 0104 5110000190 851</t>
  </si>
  <si>
    <t>Уплата прочих налогов, сборов</t>
  </si>
  <si>
    <t>992 0104 5110000190 852</t>
  </si>
  <si>
    <t>Уплата иных платежей</t>
  </si>
  <si>
    <t>992 0104 5110000190 853</t>
  </si>
  <si>
    <t>992 0104 5120060190 244</t>
  </si>
  <si>
    <t>Иные межбюджетные трансферты</t>
  </si>
  <si>
    <t>992 0106 7590000190 540</t>
  </si>
  <si>
    <t>Специальные расходы</t>
  </si>
  <si>
    <t>992 0107 5140000190 880</t>
  </si>
  <si>
    <t>Резервные средства</t>
  </si>
  <si>
    <t>992 0111 5150020590 870</t>
  </si>
  <si>
    <t>992 0113 0100000000 244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</si>
  <si>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</si>
  <si>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992 0113 0200000000 123</t>
  </si>
  <si>
    <t>992 0113 0200000000 244</t>
  </si>
  <si>
    <t>Иные выплаты населению</t>
  </si>
  <si>
    <t>992 0113 0200000000 360</t>
  </si>
  <si>
    <t>992 0113 0351000000 244</t>
  </si>
  <si>
    <t>Фонд оплаты труда учреждений</t>
  </si>
  <si>
    <t>992 0113 5180000590 111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</si>
  <si>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</si>
  <si>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992 0113 5180000590 119</t>
  </si>
  <si>
    <t>992 0113 5180000590 244</t>
  </si>
  <si>
    <t>992 0113 5180000590 851</t>
  </si>
  <si>
    <t>992 0113 5180000590 852</t>
  </si>
  <si>
    <t>992 0113 5180000590 853</t>
  </si>
  <si>
    <t>992 0113 5210010390 244</t>
  </si>
  <si>
    <t>992 0203 5520051180 121</t>
  </si>
  <si>
    <t>992 0203 5520051180 129</t>
  </si>
  <si>
    <t>992 0309 0310100000 244</t>
  </si>
  <si>
    <t>992 0309 0310200000 244</t>
  </si>
  <si>
    <t>992 0309 0310300000 244</t>
  </si>
  <si>
    <t>992 0309 0330700000 244</t>
  </si>
  <si>
    <t>992 0309 0330800000 244</t>
  </si>
  <si>
    <t>992 0314 0320400000 244</t>
  </si>
  <si>
    <t>992 0314 0320500000 244</t>
  </si>
  <si>
    <t>992 0314 0320600000 244</t>
  </si>
  <si>
    <t>992 0314 5695900000 540</t>
  </si>
  <si>
    <t>992 0409 0410062440 244</t>
  </si>
  <si>
    <t>992 0409 0410062446 244</t>
  </si>
  <si>
    <t>992 0409 0414000000 244</t>
  </si>
  <si>
    <t>992 0409 0414200000 244</t>
  </si>
  <si>
    <t>992 0409 0421300000 244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</si>
  <si>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</t>
  </si>
  <si>
    <t>992 0409 0421300000 831</t>
  </si>
  <si>
    <t>992 0409 0421300000 853</t>
  </si>
  <si>
    <t>992 0409 0421400000 244</t>
  </si>
  <si>
    <t>992 0409 9910062440 244</t>
  </si>
  <si>
    <t>992 0409 9990060160 244</t>
  </si>
  <si>
    <t>992 0412 0501500000 244</t>
  </si>
  <si>
    <t>992 0412 0601600000 244</t>
  </si>
  <si>
    <t>992 0502 0701700000 244</t>
  </si>
  <si>
    <t>992 0502 0701800000 244</t>
  </si>
  <si>
    <t>992 0502 0704100000 244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</si>
  <si>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</si>
  <si>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992 0502 0704100000 810</t>
  </si>
  <si>
    <t>992 0502 9990060160 244</t>
  </si>
  <si>
    <t>992 0503 0802000000 244</t>
  </si>
  <si>
    <t>992 0503 0802100000 244</t>
  </si>
  <si>
    <t>992 0503 0802200000 244</t>
  </si>
  <si>
    <t>992 0503 0802300000 244</t>
  </si>
  <si>
    <t>992 0503 9990060160 244</t>
  </si>
  <si>
    <t>992 0707 0902500000 244</t>
  </si>
  <si>
    <t>992 0801 1012600000 244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</si>
  <si>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</si>
  <si>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992 0801 1020060120 611</t>
  </si>
  <si>
    <t>992 0801 1020060126 611</t>
  </si>
  <si>
    <t>992 0801 1022800000 611</t>
  </si>
  <si>
    <t>992 0801 1022900000 611</t>
  </si>
  <si>
    <t>992 0801 1033000000 611</t>
  </si>
  <si>
    <t>992 0801 1033100000 611</t>
  </si>
  <si>
    <t>992 0804 1103200000 244</t>
  </si>
  <si>
    <t>992 0804 1103300000 244</t>
  </si>
  <si>
    <t>992 0804 1103400000 244</t>
  </si>
  <si>
    <t>992 0804 1103500000 244</t>
  </si>
  <si>
    <t>Иные пенсии, социальные доплаты к пенсиям</t>
  </si>
  <si>
    <t>992 1001 1203600000 312</t>
  </si>
  <si>
    <t>Пособия, компенсации, меры социальной поддержки по публичным нормативным обязательствам</t>
  </si>
  <si>
    <t>992 1001 1203600000 313</t>
  </si>
  <si>
    <t>992 1102 1303700000 611</t>
  </si>
  <si>
    <t>992 1204 1404400000 244</t>
  </si>
  <si>
    <t>Обслуживание муниципального долга</t>
  </si>
  <si>
    <t>992 1301 9610010150 730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</si>
  <si>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</si>
  <si>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</si>
  <si>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</si>
  <si>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</si>
  <si>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</si>
  <si>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</si>
  <si>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</si>
  <si>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</si>
  <si>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</si>
  <si>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</si>
  <si>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992 01030100 10 0000 810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</si>
  <si>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</si>
  <si>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</si>
  <si>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</si>
  <si>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</si>
  <si>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</si>
  <si>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</si>
  <si>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</si>
  <si>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</si>
  <si>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</si>
  <si>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</si>
  <si>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</si>
  <si>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Олейник С. К.</t>
  </si>
  <si>
    <t>(подпись)</t>
  </si>
  <si>
    <t>(расшифровка подписи)</t>
  </si>
  <si>
    <t>Алексеева С. М.</t>
  </si>
  <si>
    <t>Исполнитель:</t>
  </si>
  <si>
    <t>Кашуба Л. М.</t>
  </si>
  <si>
    <t>(должность)</t>
  </si>
  <si>
    <t xml:space="preserve">   13 июня 2017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</si>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</sst>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4" fontId="5" fillId="33" borderId="38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44"/>
  <sheetViews>
    <sheetView tabSelected="1" zoomScalePageLayoutView="0" workbookViewId="0" topLeftCell="A1">
      <selection activeCell="A1" sqref="A1:W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 t="s">
        <v>1</v>
      </c>
    </row>
    <row r="2" spans="1:24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 t="s">
        <v>3</v>
      </c>
    </row>
    <row r="3" spans="1:24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4" t="s">
        <v>5</v>
      </c>
      <c r="W3" s="4"/>
      <c r="X3" s="6">
        <v>42705</v>
      </c>
    </row>
    <row r="4" spans="1:24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" t="s">
        <v>8</v>
      </c>
      <c r="V4" s="4"/>
      <c r="W4" s="4"/>
      <c r="X4" s="9" t="s">
        <v>10</v>
      </c>
    </row>
    <row r="5" spans="1:24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4" t="s">
        <v>9</v>
      </c>
      <c r="V5" s="4"/>
      <c r="W5" s="4"/>
      <c r="X5" s="9" t="s">
        <v>11</v>
      </c>
    </row>
    <row r="6" spans="1:24" s="1" customFormat="1" ht="13.5" customHeight="1">
      <c r="A6" s="7" t="s">
        <v>12</v>
      </c>
      <c r="B6" s="7"/>
      <c r="C6" s="7"/>
      <c r="D6" s="7"/>
      <c r="E6" s="7"/>
      <c r="F6" s="7"/>
      <c r="G6" s="8" t="s">
        <v>13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4" t="s">
        <v>14</v>
      </c>
      <c r="V6" s="4"/>
      <c r="W6" s="4"/>
      <c r="X6" s="9" t="s">
        <v>15</v>
      </c>
    </row>
    <row r="7" spans="1:24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9" t="s">
        <v>13</v>
      </c>
    </row>
    <row r="8" spans="1:24" s="1" customFormat="1" ht="13.5" customHeight="1">
      <c r="A8" s="7" t="s">
        <v>18</v>
      </c>
      <c r="B8" s="7"/>
      <c r="C8" s="7"/>
      <c r="D8" s="7"/>
      <c r="E8" s="7" t="s">
        <v>19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4" t="s">
        <v>20</v>
      </c>
      <c r="U8" s="4"/>
      <c r="V8" s="4"/>
      <c r="W8" s="4"/>
      <c r="X8" s="11" t="s">
        <v>21</v>
      </c>
    </row>
    <row r="9" spans="1:24" s="1" customFormat="1" ht="13.5" customHeight="1">
      <c r="A9" s="12" t="s">
        <v>22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4.5" customHeight="1">
      <c r="A10" s="13" t="s">
        <v>23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24</v>
      </c>
      <c r="M10" s="13"/>
      <c r="N10" s="13" t="s">
        <v>25</v>
      </c>
      <c r="O10" s="13"/>
      <c r="P10" s="14" t="s">
        <v>26</v>
      </c>
      <c r="Q10" s="14"/>
      <c r="R10" s="14"/>
      <c r="S10" s="14" t="s">
        <v>27</v>
      </c>
      <c r="T10" s="14"/>
      <c r="U10" s="14"/>
      <c r="V10" s="14"/>
      <c r="W10" s="15" t="s">
        <v>28</v>
      </c>
      <c r="X10" s="15"/>
    </row>
    <row r="11" spans="1:24" s="1" customFormat="1" ht="12.75" customHeight="1">
      <c r="A11" s="16" t="s">
        <v>29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30</v>
      </c>
      <c r="M11" s="16"/>
      <c r="N11" s="16" t="s">
        <v>31</v>
      </c>
      <c r="O11" s="16"/>
      <c r="P11" s="17" t="s">
        <v>32</v>
      </c>
      <c r="Q11" s="17"/>
      <c r="R11" s="17"/>
      <c r="S11" s="17" t="s">
        <v>33</v>
      </c>
      <c r="T11" s="17"/>
      <c r="U11" s="17"/>
      <c r="V11" s="17"/>
      <c r="W11" s="18" t="s">
        <v>34</v>
      </c>
      <c r="X11" s="18"/>
    </row>
    <row r="12" spans="1:24" s="1" customFormat="1" ht="13.5" customHeight="1">
      <c r="A12" s="19" t="s">
        <v>35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36</v>
      </c>
      <c r="M12" s="20"/>
      <c r="N12" s="20" t="s">
        <v>37</v>
      </c>
      <c r="O12" s="20"/>
      <c r="P12" s="21">
        <f>49137300</f>
        <v>49137300</v>
      </c>
      <c r="Q12" s="21"/>
      <c r="R12" s="21"/>
      <c r="S12" s="21">
        <f>42793828.35</f>
        <v>42793828.35</v>
      </c>
      <c r="T12" s="21"/>
      <c r="U12" s="21"/>
      <c r="V12" s="21"/>
      <c r="W12" s="22">
        <f>6343471.65</f>
        <v>6343471.65</v>
      </c>
      <c r="X12" s="22"/>
    </row>
    <row r="13" spans="1:24" s="1" customFormat="1" ht="45" customHeight="1">
      <c r="A13" s="23" t="s">
        <v>38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36</v>
      </c>
      <c r="M13" s="24"/>
      <c r="N13" s="24" t="s">
        <v>39</v>
      </c>
      <c r="O13" s="24"/>
      <c r="P13" s="25">
        <f>50000</f>
        <v>50000</v>
      </c>
      <c r="Q13" s="25"/>
      <c r="R13" s="25"/>
      <c r="S13" s="25">
        <f>1567277.68</f>
        <v>1567277.68</v>
      </c>
      <c r="T13" s="25"/>
      <c r="U13" s="25"/>
      <c r="V13" s="25"/>
      <c r="W13" s="26">
        <f>-1517277.68</f>
        <v>-1517277.68</v>
      </c>
      <c r="X13" s="26"/>
    </row>
    <row r="14" spans="1:24" s="1" customFormat="1" ht="54.75" customHeight="1">
      <c r="A14" s="23" t="s">
        <v>40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36</v>
      </c>
      <c r="M14" s="24"/>
      <c r="N14" s="24" t="s">
        <v>41</v>
      </c>
      <c r="O14" s="24"/>
      <c r="P14" s="25">
        <f>70000</f>
        <v>70000</v>
      </c>
      <c r="Q14" s="25"/>
      <c r="R14" s="25"/>
      <c r="S14" s="25">
        <f>24564.94</f>
        <v>24564.94</v>
      </c>
      <c r="T14" s="25"/>
      <c r="U14" s="25"/>
      <c r="V14" s="25"/>
      <c r="W14" s="26">
        <f>45435.06</f>
        <v>45435.06</v>
      </c>
      <c r="X14" s="26"/>
    </row>
    <row r="15" spans="1:24" s="1" customFormat="1" ht="45" customHeight="1">
      <c r="A15" s="23" t="s">
        <v>42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36</v>
      </c>
      <c r="M15" s="24"/>
      <c r="N15" s="24" t="s">
        <v>43</v>
      </c>
      <c r="O15" s="24"/>
      <c r="P15" s="25">
        <f>4112100</f>
        <v>4112100</v>
      </c>
      <c r="Q15" s="25"/>
      <c r="R15" s="25"/>
      <c r="S15" s="25">
        <f>3220553.55</f>
        <v>3220553.55</v>
      </c>
      <c r="T15" s="25"/>
      <c r="U15" s="25"/>
      <c r="V15" s="25"/>
      <c r="W15" s="26">
        <f>891546.45</f>
        <v>891546.45</v>
      </c>
      <c r="X15" s="26"/>
    </row>
    <row r="16" spans="1:24" s="1" customFormat="1" ht="45" customHeight="1">
      <c r="A16" s="23" t="s">
        <v>44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36</v>
      </c>
      <c r="M16" s="24"/>
      <c r="N16" s="24" t="s">
        <v>45</v>
      </c>
      <c r="O16" s="24"/>
      <c r="P16" s="27" t="s">
        <v>46</v>
      </c>
      <c r="Q16" s="27"/>
      <c r="R16" s="27"/>
      <c r="S16" s="25">
        <f>-239264.69</f>
        <v>-239264.69</v>
      </c>
      <c r="T16" s="25"/>
      <c r="U16" s="25"/>
      <c r="V16" s="25"/>
      <c r="W16" s="26">
        <f>0</f>
        <v>0</v>
      </c>
      <c r="X16" s="26"/>
    </row>
    <row r="17" spans="1:24" s="1" customFormat="1" ht="45" customHeight="1">
      <c r="A17" s="23" t="s">
        <v>47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36</v>
      </c>
      <c r="M17" s="24"/>
      <c r="N17" s="24" t="s">
        <v>48</v>
      </c>
      <c r="O17" s="24"/>
      <c r="P17" s="27" t="s">
        <v>46</v>
      </c>
      <c r="Q17" s="27"/>
      <c r="R17" s="27"/>
      <c r="S17" s="25">
        <f>60000</f>
        <v>60000</v>
      </c>
      <c r="T17" s="25"/>
      <c r="U17" s="25"/>
      <c r="V17" s="25"/>
      <c r="W17" s="26">
        <f>0</f>
        <v>0</v>
      </c>
      <c r="X17" s="26"/>
    </row>
    <row r="18" spans="1:24" s="1" customFormat="1" ht="45" customHeight="1">
      <c r="A18" s="23" t="s">
        <v>49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36</v>
      </c>
      <c r="M18" s="24"/>
      <c r="N18" s="24" t="s">
        <v>50</v>
      </c>
      <c r="O18" s="24"/>
      <c r="P18" s="25">
        <f>9450000</f>
        <v>9450000</v>
      </c>
      <c r="Q18" s="25"/>
      <c r="R18" s="25"/>
      <c r="S18" s="25">
        <f>10030002.62</f>
        <v>10030002.62</v>
      </c>
      <c r="T18" s="25"/>
      <c r="U18" s="25"/>
      <c r="V18" s="25"/>
      <c r="W18" s="26">
        <f>-580002.62</f>
        <v>-580002.62</v>
      </c>
      <c r="X18" s="26"/>
    </row>
    <row r="19" spans="1:24" s="1" customFormat="1" ht="66" customHeight="1">
      <c r="A19" s="23" t="s">
        <v>51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36</v>
      </c>
      <c r="M19" s="24"/>
      <c r="N19" s="24" t="s">
        <v>52</v>
      </c>
      <c r="O19" s="24"/>
      <c r="P19" s="25">
        <f>20000</f>
        <v>20000</v>
      </c>
      <c r="Q19" s="25"/>
      <c r="R19" s="25"/>
      <c r="S19" s="25">
        <f>155291.4</f>
        <v>155291.4</v>
      </c>
      <c r="T19" s="25"/>
      <c r="U19" s="25"/>
      <c r="V19" s="25"/>
      <c r="W19" s="26">
        <f>-135291.4</f>
        <v>-135291.4</v>
      </c>
      <c r="X19" s="26"/>
    </row>
    <row r="20" spans="1:24" s="1" customFormat="1" ht="24" customHeight="1">
      <c r="A20" s="23" t="s">
        <v>53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36</v>
      </c>
      <c r="M20" s="24"/>
      <c r="N20" s="24" t="s">
        <v>54</v>
      </c>
      <c r="O20" s="24"/>
      <c r="P20" s="25">
        <f>700000</f>
        <v>700000</v>
      </c>
      <c r="Q20" s="25"/>
      <c r="R20" s="25"/>
      <c r="S20" s="25">
        <f>47857.81</f>
        <v>47857.81</v>
      </c>
      <c r="T20" s="25"/>
      <c r="U20" s="25"/>
      <c r="V20" s="25"/>
      <c r="W20" s="26">
        <f>652142.19</f>
        <v>652142.19</v>
      </c>
      <c r="X20" s="26"/>
    </row>
    <row r="21" spans="1:24" s="1" customFormat="1" ht="54.75" customHeight="1">
      <c r="A21" s="23" t="s">
        <v>55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36</v>
      </c>
      <c r="M21" s="24"/>
      <c r="N21" s="24" t="s">
        <v>56</v>
      </c>
      <c r="O21" s="24"/>
      <c r="P21" s="25">
        <f>30000</f>
        <v>30000</v>
      </c>
      <c r="Q21" s="25"/>
      <c r="R21" s="25"/>
      <c r="S21" s="25">
        <f>96619.46</f>
        <v>96619.46</v>
      </c>
      <c r="T21" s="25"/>
      <c r="U21" s="25"/>
      <c r="V21" s="25"/>
      <c r="W21" s="26">
        <f>-66619.46</f>
        <v>-66619.46</v>
      </c>
      <c r="X21" s="26"/>
    </row>
    <row r="22" spans="1:24" s="1" customFormat="1" ht="13.5" customHeight="1">
      <c r="A22" s="23" t="s">
        <v>57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36</v>
      </c>
      <c r="M22" s="24"/>
      <c r="N22" s="24" t="s">
        <v>58</v>
      </c>
      <c r="O22" s="24"/>
      <c r="P22" s="25">
        <f>493000</f>
        <v>493000</v>
      </c>
      <c r="Q22" s="25"/>
      <c r="R22" s="25"/>
      <c r="S22" s="25">
        <f>719289.97</f>
        <v>719289.97</v>
      </c>
      <c r="T22" s="25"/>
      <c r="U22" s="25"/>
      <c r="V22" s="25"/>
      <c r="W22" s="26">
        <f>-226289.97</f>
        <v>-226289.97</v>
      </c>
      <c r="X22" s="26"/>
    </row>
    <row r="23" spans="1:24" s="1" customFormat="1" ht="24" customHeight="1">
      <c r="A23" s="23" t="s">
        <v>59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36</v>
      </c>
      <c r="M23" s="24"/>
      <c r="N23" s="24" t="s">
        <v>60</v>
      </c>
      <c r="O23" s="24"/>
      <c r="P23" s="25">
        <f>1590000</f>
        <v>1590000</v>
      </c>
      <c r="Q23" s="25"/>
      <c r="R23" s="25"/>
      <c r="S23" s="25">
        <f>1460601.21</f>
        <v>1460601.21</v>
      </c>
      <c r="T23" s="25"/>
      <c r="U23" s="25"/>
      <c r="V23" s="25"/>
      <c r="W23" s="26">
        <f>129398.79</f>
        <v>129398.79</v>
      </c>
      <c r="X23" s="26"/>
    </row>
    <row r="24" spans="1:24" s="1" customFormat="1" ht="24" customHeight="1">
      <c r="A24" s="23" t="s">
        <v>61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36</v>
      </c>
      <c r="M24" s="24"/>
      <c r="N24" s="24" t="s">
        <v>62</v>
      </c>
      <c r="O24" s="24"/>
      <c r="P24" s="25">
        <f>3000000</f>
        <v>3000000</v>
      </c>
      <c r="Q24" s="25"/>
      <c r="R24" s="25"/>
      <c r="S24" s="25">
        <f>2496255.23</f>
        <v>2496255.23</v>
      </c>
      <c r="T24" s="25"/>
      <c r="U24" s="25"/>
      <c r="V24" s="25"/>
      <c r="W24" s="26">
        <f>503744.77</f>
        <v>503744.77</v>
      </c>
      <c r="X24" s="26"/>
    </row>
    <row r="25" spans="1:24" s="1" customFormat="1" ht="24" customHeight="1">
      <c r="A25" s="23" t="s">
        <v>63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 t="s">
        <v>36</v>
      </c>
      <c r="M25" s="24"/>
      <c r="N25" s="24" t="s">
        <v>64</v>
      </c>
      <c r="O25" s="24"/>
      <c r="P25" s="25">
        <f>6500000</f>
        <v>6500000</v>
      </c>
      <c r="Q25" s="25"/>
      <c r="R25" s="25"/>
      <c r="S25" s="25">
        <f>4193747.25</f>
        <v>4193747.25</v>
      </c>
      <c r="T25" s="25"/>
      <c r="U25" s="25"/>
      <c r="V25" s="25"/>
      <c r="W25" s="26">
        <f>2306252.75</f>
        <v>2306252.75</v>
      </c>
      <c r="X25" s="26"/>
    </row>
    <row r="26" spans="1:24" s="1" customFormat="1" ht="24" customHeight="1">
      <c r="A26" s="23" t="s">
        <v>65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 t="s">
        <v>36</v>
      </c>
      <c r="M26" s="24"/>
      <c r="N26" s="24" t="s">
        <v>66</v>
      </c>
      <c r="O26" s="24"/>
      <c r="P26" s="27" t="s">
        <v>46</v>
      </c>
      <c r="Q26" s="27"/>
      <c r="R26" s="27"/>
      <c r="S26" s="25">
        <f>1.87</f>
        <v>1.87</v>
      </c>
      <c r="T26" s="25"/>
      <c r="U26" s="25"/>
      <c r="V26" s="25"/>
      <c r="W26" s="26">
        <f>0</f>
        <v>0</v>
      </c>
      <c r="X26" s="26"/>
    </row>
    <row r="27" spans="1:24" s="1" customFormat="1" ht="33.75" customHeight="1">
      <c r="A27" s="23" t="s">
        <v>67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 t="s">
        <v>36</v>
      </c>
      <c r="M27" s="24"/>
      <c r="N27" s="24" t="s">
        <v>68</v>
      </c>
      <c r="O27" s="24"/>
      <c r="P27" s="27" t="s">
        <v>46</v>
      </c>
      <c r="Q27" s="27"/>
      <c r="R27" s="27"/>
      <c r="S27" s="25">
        <f>1221</f>
        <v>1221</v>
      </c>
      <c r="T27" s="25"/>
      <c r="U27" s="25"/>
      <c r="V27" s="25"/>
      <c r="W27" s="26">
        <f>0</f>
        <v>0</v>
      </c>
      <c r="X27" s="26"/>
    </row>
    <row r="28" spans="1:24" s="1" customFormat="1" ht="33.75" customHeight="1">
      <c r="A28" s="23" t="s">
        <v>69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 t="s">
        <v>36</v>
      </c>
      <c r="M28" s="24"/>
      <c r="N28" s="24" t="s">
        <v>70</v>
      </c>
      <c r="O28" s="24"/>
      <c r="P28" s="25">
        <f>256100</f>
        <v>256100</v>
      </c>
      <c r="Q28" s="25"/>
      <c r="R28" s="25"/>
      <c r="S28" s="25">
        <f>213689</f>
        <v>213689</v>
      </c>
      <c r="T28" s="25"/>
      <c r="U28" s="25"/>
      <c r="V28" s="25"/>
      <c r="W28" s="26">
        <f>42411</f>
        <v>42411</v>
      </c>
      <c r="X28" s="26"/>
    </row>
    <row r="29" spans="1:24" s="1" customFormat="1" ht="24" customHeight="1">
      <c r="A29" s="23" t="s">
        <v>71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4" t="s">
        <v>36</v>
      </c>
      <c r="M29" s="24"/>
      <c r="N29" s="24" t="s">
        <v>72</v>
      </c>
      <c r="O29" s="24"/>
      <c r="P29" s="25">
        <f>133900</f>
        <v>133900</v>
      </c>
      <c r="Q29" s="25"/>
      <c r="R29" s="25"/>
      <c r="S29" s="25">
        <f>111619.1</f>
        <v>111619.1</v>
      </c>
      <c r="T29" s="25"/>
      <c r="U29" s="25"/>
      <c r="V29" s="25"/>
      <c r="W29" s="26">
        <f>22280.9</f>
        <v>22280.9</v>
      </c>
      <c r="X29" s="26"/>
    </row>
    <row r="30" spans="1:24" s="1" customFormat="1" ht="45" customHeight="1">
      <c r="A30" s="23" t="s">
        <v>73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4" t="s">
        <v>36</v>
      </c>
      <c r="M30" s="24"/>
      <c r="N30" s="24" t="s">
        <v>74</v>
      </c>
      <c r="O30" s="24"/>
      <c r="P30" s="27" t="s">
        <v>46</v>
      </c>
      <c r="Q30" s="27"/>
      <c r="R30" s="27"/>
      <c r="S30" s="25">
        <f>369.28</f>
        <v>369.28</v>
      </c>
      <c r="T30" s="25"/>
      <c r="U30" s="25"/>
      <c r="V30" s="25"/>
      <c r="W30" s="26">
        <f>0</f>
        <v>0</v>
      </c>
      <c r="X30" s="26"/>
    </row>
    <row r="31" spans="1:24" s="1" customFormat="1" ht="54.75" customHeight="1">
      <c r="A31" s="23" t="s">
        <v>75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4" t="s">
        <v>36</v>
      </c>
      <c r="M31" s="24"/>
      <c r="N31" s="24" t="s">
        <v>76</v>
      </c>
      <c r="O31" s="24"/>
      <c r="P31" s="27" t="s">
        <v>46</v>
      </c>
      <c r="Q31" s="27"/>
      <c r="R31" s="27"/>
      <c r="S31" s="25">
        <f>322655.08</f>
        <v>322655.08</v>
      </c>
      <c r="T31" s="25"/>
      <c r="U31" s="25"/>
      <c r="V31" s="25"/>
      <c r="W31" s="26">
        <f>0</f>
        <v>0</v>
      </c>
      <c r="X31" s="26"/>
    </row>
    <row r="32" spans="1:24" s="1" customFormat="1" ht="33.75" customHeight="1">
      <c r="A32" s="23" t="s">
        <v>77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4" t="s">
        <v>36</v>
      </c>
      <c r="M32" s="24"/>
      <c r="N32" s="24" t="s">
        <v>78</v>
      </c>
      <c r="O32" s="24"/>
      <c r="P32" s="27" t="s">
        <v>46</v>
      </c>
      <c r="Q32" s="27"/>
      <c r="R32" s="27"/>
      <c r="S32" s="25">
        <f>33800</f>
        <v>33800</v>
      </c>
      <c r="T32" s="25"/>
      <c r="U32" s="25"/>
      <c r="V32" s="25"/>
      <c r="W32" s="26">
        <f>0</f>
        <v>0</v>
      </c>
      <c r="X32" s="26"/>
    </row>
    <row r="33" spans="1:24" s="1" customFormat="1" ht="13.5" customHeight="1">
      <c r="A33" s="23" t="s">
        <v>79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4" t="s">
        <v>36</v>
      </c>
      <c r="M33" s="24"/>
      <c r="N33" s="24" t="s">
        <v>80</v>
      </c>
      <c r="O33" s="24"/>
      <c r="P33" s="27" t="s">
        <v>46</v>
      </c>
      <c r="Q33" s="27"/>
      <c r="R33" s="27"/>
      <c r="S33" s="25">
        <f>0</f>
        <v>0</v>
      </c>
      <c r="T33" s="25"/>
      <c r="U33" s="25"/>
      <c r="V33" s="25"/>
      <c r="W33" s="26">
        <f>0</f>
        <v>0</v>
      </c>
      <c r="X33" s="26"/>
    </row>
    <row r="34" spans="1:24" s="1" customFormat="1" ht="24" customHeight="1">
      <c r="A34" s="23" t="s">
        <v>81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4" t="s">
        <v>36</v>
      </c>
      <c r="M34" s="24"/>
      <c r="N34" s="24" t="s">
        <v>82</v>
      </c>
      <c r="O34" s="24"/>
      <c r="P34" s="25">
        <f>10454700</f>
        <v>10454700</v>
      </c>
      <c r="Q34" s="25"/>
      <c r="R34" s="25"/>
      <c r="S34" s="25">
        <f>10386543</f>
        <v>10386543</v>
      </c>
      <c r="T34" s="25"/>
      <c r="U34" s="25"/>
      <c r="V34" s="25"/>
      <c r="W34" s="26">
        <f>68157</f>
        <v>68157</v>
      </c>
      <c r="X34" s="26"/>
    </row>
    <row r="35" spans="1:24" s="1" customFormat="1" ht="13.5" customHeight="1">
      <c r="A35" s="23" t="s">
        <v>83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4" t="s">
        <v>36</v>
      </c>
      <c r="M35" s="24"/>
      <c r="N35" s="24" t="s">
        <v>84</v>
      </c>
      <c r="O35" s="24"/>
      <c r="P35" s="25">
        <f>7389100</f>
        <v>7389100</v>
      </c>
      <c r="Q35" s="25"/>
      <c r="R35" s="25"/>
      <c r="S35" s="25">
        <f>3061700</f>
        <v>3061700</v>
      </c>
      <c r="T35" s="25"/>
      <c r="U35" s="25"/>
      <c r="V35" s="25"/>
      <c r="W35" s="26">
        <f>4327400</f>
        <v>4327400</v>
      </c>
      <c r="X35" s="26"/>
    </row>
    <row r="36" spans="1:24" s="1" customFormat="1" ht="24" customHeight="1">
      <c r="A36" s="23" t="s">
        <v>85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4" t="s">
        <v>36</v>
      </c>
      <c r="M36" s="24"/>
      <c r="N36" s="24" t="s">
        <v>86</v>
      </c>
      <c r="O36" s="24"/>
      <c r="P36" s="25">
        <f>380800</f>
        <v>380800</v>
      </c>
      <c r="Q36" s="25"/>
      <c r="R36" s="25"/>
      <c r="S36" s="25">
        <f>329433.59</f>
        <v>329433.59</v>
      </c>
      <c r="T36" s="25"/>
      <c r="U36" s="25"/>
      <c r="V36" s="25"/>
      <c r="W36" s="26">
        <f>51366.41</f>
        <v>51366.41</v>
      </c>
      <c r="X36" s="26"/>
    </row>
    <row r="37" spans="1:24" s="1" customFormat="1" ht="24" customHeight="1">
      <c r="A37" s="23" t="s">
        <v>87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4" t="s">
        <v>36</v>
      </c>
      <c r="M37" s="24"/>
      <c r="N37" s="24" t="s">
        <v>88</v>
      </c>
      <c r="O37" s="24"/>
      <c r="P37" s="25">
        <f>7600</f>
        <v>7600</v>
      </c>
      <c r="Q37" s="25"/>
      <c r="R37" s="25"/>
      <c r="S37" s="27" t="s">
        <v>46</v>
      </c>
      <c r="T37" s="27"/>
      <c r="U37" s="27"/>
      <c r="V37" s="27"/>
      <c r="W37" s="26">
        <f>7600</f>
        <v>7600</v>
      </c>
      <c r="X37" s="26"/>
    </row>
    <row r="38" spans="1:24" s="1" customFormat="1" ht="24" customHeight="1">
      <c r="A38" s="23" t="s">
        <v>89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4" t="s">
        <v>36</v>
      </c>
      <c r="M38" s="24"/>
      <c r="N38" s="24" t="s">
        <v>90</v>
      </c>
      <c r="O38" s="24"/>
      <c r="P38" s="25">
        <f>4500000</f>
        <v>4500000</v>
      </c>
      <c r="Q38" s="25"/>
      <c r="R38" s="25"/>
      <c r="S38" s="25">
        <f>4500000</f>
        <v>4500000</v>
      </c>
      <c r="T38" s="25"/>
      <c r="U38" s="25"/>
      <c r="V38" s="25"/>
      <c r="W38" s="26">
        <f>0</f>
        <v>0</v>
      </c>
      <c r="X38" s="26"/>
    </row>
    <row r="39" spans="1:24" s="1" customFormat="1" ht="13.5" customHeight="1">
      <c r="A39" s="28" t="s">
        <v>13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</row>
    <row r="40" spans="1:24" s="1" customFormat="1" ht="13.5" customHeight="1">
      <c r="A40" s="12" t="s">
        <v>91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s="1" customFormat="1" ht="34.5" customHeight="1">
      <c r="A41" s="13" t="s">
        <v>23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 t="s">
        <v>24</v>
      </c>
      <c r="M41" s="13"/>
      <c r="N41" s="13" t="s">
        <v>92</v>
      </c>
      <c r="O41" s="13"/>
      <c r="P41" s="14" t="s">
        <v>26</v>
      </c>
      <c r="Q41" s="14"/>
      <c r="R41" s="14"/>
      <c r="S41" s="14" t="s">
        <v>27</v>
      </c>
      <c r="T41" s="14"/>
      <c r="U41" s="14"/>
      <c r="V41" s="14"/>
      <c r="W41" s="15" t="s">
        <v>28</v>
      </c>
      <c r="X41" s="15"/>
    </row>
    <row r="42" spans="1:24" s="1" customFormat="1" ht="13.5" customHeight="1">
      <c r="A42" s="16" t="s">
        <v>29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 t="s">
        <v>30</v>
      </c>
      <c r="M42" s="16"/>
      <c r="N42" s="16" t="s">
        <v>31</v>
      </c>
      <c r="O42" s="16"/>
      <c r="P42" s="17" t="s">
        <v>32</v>
      </c>
      <c r="Q42" s="17"/>
      <c r="R42" s="17"/>
      <c r="S42" s="17" t="s">
        <v>33</v>
      </c>
      <c r="T42" s="17"/>
      <c r="U42" s="17"/>
      <c r="V42" s="17"/>
      <c r="W42" s="18" t="s">
        <v>34</v>
      </c>
      <c r="X42" s="18"/>
    </row>
    <row r="43" spans="1:24" s="1" customFormat="1" ht="13.5" customHeight="1">
      <c r="A43" s="19" t="s">
        <v>93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20" t="s">
        <v>94</v>
      </c>
      <c r="M43" s="20"/>
      <c r="N43" s="20" t="s">
        <v>37</v>
      </c>
      <c r="O43" s="20"/>
      <c r="P43" s="21">
        <f>50468851.44</f>
        <v>50468851.44</v>
      </c>
      <c r="Q43" s="21"/>
      <c r="R43" s="21"/>
      <c r="S43" s="21">
        <f>42321135.83</f>
        <v>42321135.83</v>
      </c>
      <c r="T43" s="21"/>
      <c r="U43" s="21"/>
      <c r="V43" s="21"/>
      <c r="W43" s="22">
        <f>8147715.61</f>
        <v>8147715.61</v>
      </c>
      <c r="X43" s="22"/>
    </row>
    <row r="44" spans="1:24" s="1" customFormat="1" ht="13.5" customHeight="1">
      <c r="A44" s="29" t="s">
        <v>95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30" t="s">
        <v>94</v>
      </c>
      <c r="M44" s="30"/>
      <c r="N44" s="30" t="s">
        <v>96</v>
      </c>
      <c r="O44" s="30"/>
      <c r="P44" s="31">
        <f>536000</f>
        <v>536000</v>
      </c>
      <c r="Q44" s="31"/>
      <c r="R44" s="31"/>
      <c r="S44" s="31">
        <f>471497.61</f>
        <v>471497.61</v>
      </c>
      <c r="T44" s="31"/>
      <c r="U44" s="31"/>
      <c r="V44" s="31"/>
      <c r="W44" s="32">
        <f>64502.39</f>
        <v>64502.39</v>
      </c>
      <c r="X44" s="32"/>
    </row>
    <row r="45" spans="1:24" s="1" customFormat="1" ht="33.75" customHeight="1">
      <c r="A45" s="29" t="s">
        <v>97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30" t="s">
        <v>94</v>
      </c>
      <c r="M45" s="30"/>
      <c r="N45" s="30" t="s">
        <v>98</v>
      </c>
      <c r="O45" s="30"/>
      <c r="P45" s="31">
        <f>161900</f>
        <v>161900</v>
      </c>
      <c r="Q45" s="31"/>
      <c r="R45" s="31"/>
      <c r="S45" s="31">
        <f>129305.8</f>
        <v>129305.8</v>
      </c>
      <c r="T45" s="31"/>
      <c r="U45" s="31"/>
      <c r="V45" s="31"/>
      <c r="W45" s="32">
        <f>32594.2</f>
        <v>32594.2</v>
      </c>
      <c r="X45" s="32"/>
    </row>
    <row r="46" spans="1:24" s="1" customFormat="1" ht="13.5" customHeight="1">
      <c r="A46" s="29" t="s">
        <v>95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30" t="s">
        <v>94</v>
      </c>
      <c r="M46" s="30"/>
      <c r="N46" s="30" t="s">
        <v>99</v>
      </c>
      <c r="O46" s="30"/>
      <c r="P46" s="31">
        <f>3213100</f>
        <v>3213100</v>
      </c>
      <c r="Q46" s="31"/>
      <c r="R46" s="31"/>
      <c r="S46" s="31">
        <f>2750019.75</f>
        <v>2750019.75</v>
      </c>
      <c r="T46" s="31"/>
      <c r="U46" s="31"/>
      <c r="V46" s="31"/>
      <c r="W46" s="32">
        <f>463080.25</f>
        <v>463080.25</v>
      </c>
      <c r="X46" s="32"/>
    </row>
    <row r="47" spans="1:24" s="1" customFormat="1" ht="33.75" customHeight="1">
      <c r="A47" s="29" t="s">
        <v>97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30" t="s">
        <v>94</v>
      </c>
      <c r="M47" s="30"/>
      <c r="N47" s="30" t="s">
        <v>100</v>
      </c>
      <c r="O47" s="30"/>
      <c r="P47" s="31">
        <f>970300</f>
        <v>970300</v>
      </c>
      <c r="Q47" s="31"/>
      <c r="R47" s="31"/>
      <c r="S47" s="31">
        <f>935167.87</f>
        <v>935167.87</v>
      </c>
      <c r="T47" s="31"/>
      <c r="U47" s="31"/>
      <c r="V47" s="31"/>
      <c r="W47" s="32">
        <f>35132.13</f>
        <v>35132.13</v>
      </c>
      <c r="X47" s="32"/>
    </row>
    <row r="48" spans="1:24" s="1" customFormat="1" ht="24" customHeight="1">
      <c r="A48" s="29" t="s">
        <v>101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30" t="s">
        <v>94</v>
      </c>
      <c r="M48" s="30"/>
      <c r="N48" s="30" t="s">
        <v>102</v>
      </c>
      <c r="O48" s="30"/>
      <c r="P48" s="31">
        <f>765200</f>
        <v>765200</v>
      </c>
      <c r="Q48" s="31"/>
      <c r="R48" s="31"/>
      <c r="S48" s="31">
        <f>581423</f>
        <v>581423</v>
      </c>
      <c r="T48" s="31"/>
      <c r="U48" s="31"/>
      <c r="V48" s="31"/>
      <c r="W48" s="32">
        <f>183777</f>
        <v>183777</v>
      </c>
      <c r="X48" s="32"/>
    </row>
    <row r="49" spans="1:24" s="1" customFormat="1" ht="13.5" customHeight="1">
      <c r="A49" s="29" t="s">
        <v>103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30" t="s">
        <v>94</v>
      </c>
      <c r="M49" s="30"/>
      <c r="N49" s="30" t="s">
        <v>104</v>
      </c>
      <c r="O49" s="30"/>
      <c r="P49" s="31">
        <f>250000</f>
        <v>250000</v>
      </c>
      <c r="Q49" s="31"/>
      <c r="R49" s="31"/>
      <c r="S49" s="31">
        <f>113069.96</f>
        <v>113069.96</v>
      </c>
      <c r="T49" s="31"/>
      <c r="U49" s="31"/>
      <c r="V49" s="31"/>
      <c r="W49" s="32">
        <f>136930.04</f>
        <v>136930.04</v>
      </c>
      <c r="X49" s="32"/>
    </row>
    <row r="50" spans="1:24" s="1" customFormat="1" ht="13.5" customHeight="1">
      <c r="A50" s="29" t="s">
        <v>105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30" t="s">
        <v>94</v>
      </c>
      <c r="M50" s="30"/>
      <c r="N50" s="30" t="s">
        <v>106</v>
      </c>
      <c r="O50" s="30"/>
      <c r="P50" s="31">
        <f>50000</f>
        <v>50000</v>
      </c>
      <c r="Q50" s="31"/>
      <c r="R50" s="31"/>
      <c r="S50" s="31">
        <f>6535</f>
        <v>6535</v>
      </c>
      <c r="T50" s="31"/>
      <c r="U50" s="31"/>
      <c r="V50" s="31"/>
      <c r="W50" s="32">
        <f>43465</f>
        <v>43465</v>
      </c>
      <c r="X50" s="32"/>
    </row>
    <row r="51" spans="1:24" s="1" customFormat="1" ht="13.5" customHeight="1">
      <c r="A51" s="29" t="s">
        <v>107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30" t="s">
        <v>94</v>
      </c>
      <c r="M51" s="30"/>
      <c r="N51" s="30" t="s">
        <v>108</v>
      </c>
      <c r="O51" s="30"/>
      <c r="P51" s="31">
        <f>900</f>
        <v>900</v>
      </c>
      <c r="Q51" s="31"/>
      <c r="R51" s="31"/>
      <c r="S51" s="31">
        <f>858.49</f>
        <v>858.49</v>
      </c>
      <c r="T51" s="31"/>
      <c r="U51" s="31"/>
      <c r="V51" s="31"/>
      <c r="W51" s="32">
        <f>41.51</f>
        <v>41.51</v>
      </c>
      <c r="X51" s="32"/>
    </row>
    <row r="52" spans="1:24" s="1" customFormat="1" ht="24" customHeight="1">
      <c r="A52" s="29" t="s">
        <v>101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30" t="s">
        <v>94</v>
      </c>
      <c r="M52" s="30"/>
      <c r="N52" s="30" t="s">
        <v>109</v>
      </c>
      <c r="O52" s="30"/>
      <c r="P52" s="31">
        <f>7600</f>
        <v>7600</v>
      </c>
      <c r="Q52" s="31"/>
      <c r="R52" s="31"/>
      <c r="S52" s="33" t="s">
        <v>46</v>
      </c>
      <c r="T52" s="33"/>
      <c r="U52" s="33"/>
      <c r="V52" s="33"/>
      <c r="W52" s="32">
        <f>7600</f>
        <v>7600</v>
      </c>
      <c r="X52" s="32"/>
    </row>
    <row r="53" spans="1:24" s="1" customFormat="1" ht="13.5" customHeight="1">
      <c r="A53" s="29" t="s">
        <v>110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30" t="s">
        <v>94</v>
      </c>
      <c r="M53" s="30"/>
      <c r="N53" s="30" t="s">
        <v>111</v>
      </c>
      <c r="O53" s="30"/>
      <c r="P53" s="31">
        <f>180900</f>
        <v>180900</v>
      </c>
      <c r="Q53" s="31"/>
      <c r="R53" s="31"/>
      <c r="S53" s="31">
        <f>180900</f>
        <v>180900</v>
      </c>
      <c r="T53" s="31"/>
      <c r="U53" s="31"/>
      <c r="V53" s="31"/>
      <c r="W53" s="32">
        <f>0</f>
        <v>0</v>
      </c>
      <c r="X53" s="32"/>
    </row>
    <row r="54" spans="1:24" s="1" customFormat="1" ht="13.5" customHeight="1">
      <c r="A54" s="29" t="s">
        <v>112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30" t="s">
        <v>94</v>
      </c>
      <c r="M54" s="30"/>
      <c r="N54" s="30" t="s">
        <v>113</v>
      </c>
      <c r="O54" s="30"/>
      <c r="P54" s="31">
        <f>550000</f>
        <v>550000</v>
      </c>
      <c r="Q54" s="31"/>
      <c r="R54" s="31"/>
      <c r="S54" s="31">
        <f>550000</f>
        <v>550000</v>
      </c>
      <c r="T54" s="31"/>
      <c r="U54" s="31"/>
      <c r="V54" s="31"/>
      <c r="W54" s="32">
        <f>0</f>
        <v>0</v>
      </c>
      <c r="X54" s="32"/>
    </row>
    <row r="55" spans="1:24" s="1" customFormat="1" ht="13.5" customHeight="1">
      <c r="A55" s="29" t="s">
        <v>114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30" t="s">
        <v>94</v>
      </c>
      <c r="M55" s="30"/>
      <c r="N55" s="30" t="s">
        <v>115</v>
      </c>
      <c r="O55" s="30"/>
      <c r="P55" s="31">
        <f>40000</f>
        <v>40000</v>
      </c>
      <c r="Q55" s="31"/>
      <c r="R55" s="31"/>
      <c r="S55" s="33" t="s">
        <v>46</v>
      </c>
      <c r="T55" s="33"/>
      <c r="U55" s="33"/>
      <c r="V55" s="33"/>
      <c r="W55" s="32">
        <f>40000</f>
        <v>40000</v>
      </c>
      <c r="X55" s="32"/>
    </row>
    <row r="56" spans="1:24" s="1" customFormat="1" ht="24" customHeight="1">
      <c r="A56" s="29" t="s">
        <v>101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30" t="s">
        <v>94</v>
      </c>
      <c r="M56" s="30"/>
      <c r="N56" s="30" t="s">
        <v>116</v>
      </c>
      <c r="O56" s="30"/>
      <c r="P56" s="31">
        <f>72500</f>
        <v>72500</v>
      </c>
      <c r="Q56" s="31"/>
      <c r="R56" s="31"/>
      <c r="S56" s="31">
        <f>72499.98</f>
        <v>72499.98</v>
      </c>
      <c r="T56" s="31"/>
      <c r="U56" s="31"/>
      <c r="V56" s="31"/>
      <c r="W56" s="32">
        <f>0.02</f>
        <v>0.02</v>
      </c>
      <c r="X56" s="32"/>
    </row>
    <row r="57" spans="1:24" s="1" customFormat="1" ht="33.75" customHeight="1">
      <c r="A57" s="29" t="s">
        <v>117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30" t="s">
        <v>94</v>
      </c>
      <c r="M57" s="30"/>
      <c r="N57" s="30" t="s">
        <v>118</v>
      </c>
      <c r="O57" s="30"/>
      <c r="P57" s="31">
        <f>86500</f>
        <v>86500</v>
      </c>
      <c r="Q57" s="31"/>
      <c r="R57" s="31"/>
      <c r="S57" s="31">
        <f>70400</f>
        <v>70400</v>
      </c>
      <c r="T57" s="31"/>
      <c r="U57" s="31"/>
      <c r="V57" s="31"/>
      <c r="W57" s="32">
        <f>16100</f>
        <v>16100</v>
      </c>
      <c r="X57" s="32"/>
    </row>
    <row r="58" spans="1:24" s="1" customFormat="1" ht="24" customHeight="1">
      <c r="A58" s="29" t="s">
        <v>101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30" t="s">
        <v>94</v>
      </c>
      <c r="M58" s="30"/>
      <c r="N58" s="30" t="s">
        <v>119</v>
      </c>
      <c r="O58" s="30"/>
      <c r="P58" s="31">
        <f>0</f>
        <v>0</v>
      </c>
      <c r="Q58" s="31"/>
      <c r="R58" s="31"/>
      <c r="S58" s="33" t="s">
        <v>46</v>
      </c>
      <c r="T58" s="33"/>
      <c r="U58" s="33"/>
      <c r="V58" s="33"/>
      <c r="W58" s="32">
        <f>0</f>
        <v>0</v>
      </c>
      <c r="X58" s="32"/>
    </row>
    <row r="59" spans="1:24" s="1" customFormat="1" ht="13.5" customHeight="1">
      <c r="A59" s="29" t="s">
        <v>120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30" t="s">
        <v>94</v>
      </c>
      <c r="M59" s="30"/>
      <c r="N59" s="30" t="s">
        <v>121</v>
      </c>
      <c r="O59" s="30"/>
      <c r="P59" s="31">
        <f>0</f>
        <v>0</v>
      </c>
      <c r="Q59" s="31"/>
      <c r="R59" s="31"/>
      <c r="S59" s="31">
        <f>0</f>
        <v>0</v>
      </c>
      <c r="T59" s="31"/>
      <c r="U59" s="31"/>
      <c r="V59" s="31"/>
      <c r="W59" s="32">
        <f>0</f>
        <v>0</v>
      </c>
      <c r="X59" s="32"/>
    </row>
    <row r="60" spans="1:24" s="1" customFormat="1" ht="24" customHeight="1">
      <c r="A60" s="29" t="s">
        <v>101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30" t="s">
        <v>94</v>
      </c>
      <c r="M60" s="30"/>
      <c r="N60" s="30" t="s">
        <v>122</v>
      </c>
      <c r="O60" s="30"/>
      <c r="P60" s="31">
        <f>1000</f>
        <v>1000</v>
      </c>
      <c r="Q60" s="31"/>
      <c r="R60" s="31"/>
      <c r="S60" s="33" t="s">
        <v>46</v>
      </c>
      <c r="T60" s="33"/>
      <c r="U60" s="33"/>
      <c r="V60" s="33"/>
      <c r="W60" s="32">
        <f>1000</f>
        <v>1000</v>
      </c>
      <c r="X60" s="32"/>
    </row>
    <row r="61" spans="1:24" s="1" customFormat="1" ht="13.5" customHeight="1">
      <c r="A61" s="29" t="s">
        <v>123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30" t="s">
        <v>94</v>
      </c>
      <c r="M61" s="30"/>
      <c r="N61" s="30" t="s">
        <v>124</v>
      </c>
      <c r="O61" s="30"/>
      <c r="P61" s="31">
        <f>3730700</f>
        <v>3730700</v>
      </c>
      <c r="Q61" s="31"/>
      <c r="R61" s="31"/>
      <c r="S61" s="31">
        <f>3251883</f>
        <v>3251883</v>
      </c>
      <c r="T61" s="31"/>
      <c r="U61" s="31"/>
      <c r="V61" s="31"/>
      <c r="W61" s="32">
        <f>478817</f>
        <v>478817</v>
      </c>
      <c r="X61" s="32"/>
    </row>
    <row r="62" spans="1:24" s="1" customFormat="1" ht="24" customHeight="1">
      <c r="A62" s="29" t="s">
        <v>125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30" t="s">
        <v>94</v>
      </c>
      <c r="M62" s="30"/>
      <c r="N62" s="30" t="s">
        <v>126</v>
      </c>
      <c r="O62" s="30"/>
      <c r="P62" s="31">
        <f>1126700</f>
        <v>1126700</v>
      </c>
      <c r="Q62" s="31"/>
      <c r="R62" s="31"/>
      <c r="S62" s="31">
        <f>1030930.69</f>
        <v>1030930.69</v>
      </c>
      <c r="T62" s="31"/>
      <c r="U62" s="31"/>
      <c r="V62" s="31"/>
      <c r="W62" s="32">
        <f>95769.31</f>
        <v>95769.31</v>
      </c>
      <c r="X62" s="32"/>
    </row>
    <row r="63" spans="1:24" s="1" customFormat="1" ht="24" customHeight="1">
      <c r="A63" s="29" t="s">
        <v>101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30" t="s">
        <v>94</v>
      </c>
      <c r="M63" s="30"/>
      <c r="N63" s="30" t="s">
        <v>127</v>
      </c>
      <c r="O63" s="30"/>
      <c r="P63" s="31">
        <f>2482100</f>
        <v>2482100</v>
      </c>
      <c r="Q63" s="31"/>
      <c r="R63" s="31"/>
      <c r="S63" s="31">
        <f>2305920.14</f>
        <v>2305920.14</v>
      </c>
      <c r="T63" s="31"/>
      <c r="U63" s="31"/>
      <c r="V63" s="31"/>
      <c r="W63" s="32">
        <f>176179.86</f>
        <v>176179.86</v>
      </c>
      <c r="X63" s="32"/>
    </row>
    <row r="64" spans="1:24" s="1" customFormat="1" ht="13.5" customHeight="1">
      <c r="A64" s="29" t="s">
        <v>103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30" t="s">
        <v>94</v>
      </c>
      <c r="M64" s="30"/>
      <c r="N64" s="30" t="s">
        <v>128</v>
      </c>
      <c r="O64" s="30"/>
      <c r="P64" s="31">
        <f>111900</f>
        <v>111900</v>
      </c>
      <c r="Q64" s="31"/>
      <c r="R64" s="31"/>
      <c r="S64" s="31">
        <f>66053.79</f>
        <v>66053.79</v>
      </c>
      <c r="T64" s="31"/>
      <c r="U64" s="31"/>
      <c r="V64" s="31"/>
      <c r="W64" s="32">
        <f>45846.21</f>
        <v>45846.21</v>
      </c>
      <c r="X64" s="32"/>
    </row>
    <row r="65" spans="1:24" s="1" customFormat="1" ht="13.5" customHeight="1">
      <c r="A65" s="29" t="s">
        <v>105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30" t="s">
        <v>94</v>
      </c>
      <c r="M65" s="30"/>
      <c r="N65" s="30" t="s">
        <v>129</v>
      </c>
      <c r="O65" s="30"/>
      <c r="P65" s="31">
        <f>17000</f>
        <v>17000</v>
      </c>
      <c r="Q65" s="31"/>
      <c r="R65" s="31"/>
      <c r="S65" s="31">
        <f>9707</f>
        <v>9707</v>
      </c>
      <c r="T65" s="31"/>
      <c r="U65" s="31"/>
      <c r="V65" s="31"/>
      <c r="W65" s="32">
        <f>7293</f>
        <v>7293</v>
      </c>
      <c r="X65" s="32"/>
    </row>
    <row r="66" spans="1:24" s="1" customFormat="1" ht="13.5" customHeight="1">
      <c r="A66" s="29" t="s">
        <v>107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30" t="s">
        <v>94</v>
      </c>
      <c r="M66" s="30"/>
      <c r="N66" s="30" t="s">
        <v>130</v>
      </c>
      <c r="O66" s="30"/>
      <c r="P66" s="31">
        <f>8100</f>
        <v>8100</v>
      </c>
      <c r="Q66" s="31"/>
      <c r="R66" s="31"/>
      <c r="S66" s="31">
        <f>8015.26</f>
        <v>8015.26</v>
      </c>
      <c r="T66" s="31"/>
      <c r="U66" s="31"/>
      <c r="V66" s="31"/>
      <c r="W66" s="32">
        <f>84.74</f>
        <v>84.74</v>
      </c>
      <c r="X66" s="32"/>
    </row>
    <row r="67" spans="1:24" s="1" customFormat="1" ht="24" customHeight="1">
      <c r="A67" s="29" t="s">
        <v>101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30" t="s">
        <v>94</v>
      </c>
      <c r="M67" s="30"/>
      <c r="N67" s="30" t="s">
        <v>131</v>
      </c>
      <c r="O67" s="30"/>
      <c r="P67" s="31">
        <f>0</f>
        <v>0</v>
      </c>
      <c r="Q67" s="31"/>
      <c r="R67" s="31"/>
      <c r="S67" s="33" t="s">
        <v>46</v>
      </c>
      <c r="T67" s="33"/>
      <c r="U67" s="33"/>
      <c r="V67" s="33"/>
      <c r="W67" s="32">
        <f>0</f>
        <v>0</v>
      </c>
      <c r="X67" s="32"/>
    </row>
    <row r="68" spans="1:24" s="1" customFormat="1" ht="13.5" customHeight="1">
      <c r="A68" s="29" t="s">
        <v>95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30" t="s">
        <v>94</v>
      </c>
      <c r="M68" s="30"/>
      <c r="N68" s="30" t="s">
        <v>132</v>
      </c>
      <c r="O68" s="30"/>
      <c r="P68" s="31">
        <f>292500</f>
        <v>292500</v>
      </c>
      <c r="Q68" s="31"/>
      <c r="R68" s="31"/>
      <c r="S68" s="31">
        <f>254005.68</f>
        <v>254005.68</v>
      </c>
      <c r="T68" s="31"/>
      <c r="U68" s="31"/>
      <c r="V68" s="31"/>
      <c r="W68" s="32">
        <f>38494.32</f>
        <v>38494.32</v>
      </c>
      <c r="X68" s="32"/>
    </row>
    <row r="69" spans="1:24" s="1" customFormat="1" ht="33.75" customHeight="1">
      <c r="A69" s="29" t="s">
        <v>97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30" t="s">
        <v>94</v>
      </c>
      <c r="M69" s="30"/>
      <c r="N69" s="30" t="s">
        <v>133</v>
      </c>
      <c r="O69" s="30"/>
      <c r="P69" s="31">
        <f>88300</f>
        <v>88300</v>
      </c>
      <c r="Q69" s="31"/>
      <c r="R69" s="31"/>
      <c r="S69" s="31">
        <f>75427.91</f>
        <v>75427.91</v>
      </c>
      <c r="T69" s="31"/>
      <c r="U69" s="31"/>
      <c r="V69" s="31"/>
      <c r="W69" s="32">
        <f>12872.09</f>
        <v>12872.09</v>
      </c>
      <c r="X69" s="32"/>
    </row>
    <row r="70" spans="1:24" s="1" customFormat="1" ht="24" customHeight="1">
      <c r="A70" s="29" t="s">
        <v>101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30" t="s">
        <v>94</v>
      </c>
      <c r="M70" s="30"/>
      <c r="N70" s="30" t="s">
        <v>134</v>
      </c>
      <c r="O70" s="30"/>
      <c r="P70" s="31">
        <f aca="true" t="shared" si="0" ref="P70:P76">1000</f>
        <v>1000</v>
      </c>
      <c r="Q70" s="31"/>
      <c r="R70" s="31"/>
      <c r="S70" s="33" t="s">
        <v>46</v>
      </c>
      <c r="T70" s="33"/>
      <c r="U70" s="33"/>
      <c r="V70" s="33"/>
      <c r="W70" s="32">
        <f aca="true" t="shared" si="1" ref="W70:W76">1000</f>
        <v>1000</v>
      </c>
      <c r="X70" s="32"/>
    </row>
    <row r="71" spans="1:24" s="1" customFormat="1" ht="24" customHeight="1">
      <c r="A71" s="29" t="s">
        <v>101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30" t="s">
        <v>94</v>
      </c>
      <c r="M71" s="30"/>
      <c r="N71" s="30" t="s">
        <v>135</v>
      </c>
      <c r="O71" s="30"/>
      <c r="P71" s="31">
        <f t="shared" si="0"/>
        <v>1000</v>
      </c>
      <c r="Q71" s="31"/>
      <c r="R71" s="31"/>
      <c r="S71" s="33" t="s">
        <v>46</v>
      </c>
      <c r="T71" s="33"/>
      <c r="U71" s="33"/>
      <c r="V71" s="33"/>
      <c r="W71" s="32">
        <f t="shared" si="1"/>
        <v>1000</v>
      </c>
      <c r="X71" s="32"/>
    </row>
    <row r="72" spans="1:24" s="1" customFormat="1" ht="24" customHeight="1">
      <c r="A72" s="29" t="s">
        <v>101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30" t="s">
        <v>94</v>
      </c>
      <c r="M72" s="30"/>
      <c r="N72" s="30" t="s">
        <v>136</v>
      </c>
      <c r="O72" s="30"/>
      <c r="P72" s="31">
        <f t="shared" si="0"/>
        <v>1000</v>
      </c>
      <c r="Q72" s="31"/>
      <c r="R72" s="31"/>
      <c r="S72" s="33" t="s">
        <v>46</v>
      </c>
      <c r="T72" s="33"/>
      <c r="U72" s="33"/>
      <c r="V72" s="33"/>
      <c r="W72" s="32">
        <f t="shared" si="1"/>
        <v>1000</v>
      </c>
      <c r="X72" s="32"/>
    </row>
    <row r="73" spans="1:24" s="1" customFormat="1" ht="24" customHeight="1">
      <c r="A73" s="29" t="s">
        <v>101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30" t="s">
        <v>94</v>
      </c>
      <c r="M73" s="30"/>
      <c r="N73" s="30" t="s">
        <v>137</v>
      </c>
      <c r="O73" s="30"/>
      <c r="P73" s="31">
        <f t="shared" si="0"/>
        <v>1000</v>
      </c>
      <c r="Q73" s="31"/>
      <c r="R73" s="31"/>
      <c r="S73" s="33" t="s">
        <v>46</v>
      </c>
      <c r="T73" s="33"/>
      <c r="U73" s="33"/>
      <c r="V73" s="33"/>
      <c r="W73" s="32">
        <f t="shared" si="1"/>
        <v>1000</v>
      </c>
      <c r="X73" s="32"/>
    </row>
    <row r="74" spans="1:24" s="1" customFormat="1" ht="24" customHeight="1">
      <c r="A74" s="29" t="s">
        <v>101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30" t="s">
        <v>94</v>
      </c>
      <c r="M74" s="30"/>
      <c r="N74" s="30" t="s">
        <v>138</v>
      </c>
      <c r="O74" s="30"/>
      <c r="P74" s="31">
        <f t="shared" si="0"/>
        <v>1000</v>
      </c>
      <c r="Q74" s="31"/>
      <c r="R74" s="31"/>
      <c r="S74" s="33" t="s">
        <v>46</v>
      </c>
      <c r="T74" s="33"/>
      <c r="U74" s="33"/>
      <c r="V74" s="33"/>
      <c r="W74" s="32">
        <f t="shared" si="1"/>
        <v>1000</v>
      </c>
      <c r="X74" s="32"/>
    </row>
    <row r="75" spans="1:24" s="1" customFormat="1" ht="24" customHeight="1">
      <c r="A75" s="29" t="s">
        <v>101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30" t="s">
        <v>94</v>
      </c>
      <c r="M75" s="30"/>
      <c r="N75" s="30" t="s">
        <v>139</v>
      </c>
      <c r="O75" s="30"/>
      <c r="P75" s="31">
        <f t="shared" si="0"/>
        <v>1000</v>
      </c>
      <c r="Q75" s="31"/>
      <c r="R75" s="31"/>
      <c r="S75" s="33" t="s">
        <v>46</v>
      </c>
      <c r="T75" s="33"/>
      <c r="U75" s="33"/>
      <c r="V75" s="33"/>
      <c r="W75" s="32">
        <f t="shared" si="1"/>
        <v>1000</v>
      </c>
      <c r="X75" s="32"/>
    </row>
    <row r="76" spans="1:24" s="1" customFormat="1" ht="24" customHeight="1">
      <c r="A76" s="29" t="s">
        <v>101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30" t="s">
        <v>94</v>
      </c>
      <c r="M76" s="30"/>
      <c r="N76" s="30" t="s">
        <v>140</v>
      </c>
      <c r="O76" s="30"/>
      <c r="P76" s="31">
        <f t="shared" si="0"/>
        <v>1000</v>
      </c>
      <c r="Q76" s="31"/>
      <c r="R76" s="31"/>
      <c r="S76" s="33" t="s">
        <v>46</v>
      </c>
      <c r="T76" s="33"/>
      <c r="U76" s="33"/>
      <c r="V76" s="33"/>
      <c r="W76" s="32">
        <f t="shared" si="1"/>
        <v>1000</v>
      </c>
      <c r="X76" s="32"/>
    </row>
    <row r="77" spans="1:24" s="1" customFormat="1" ht="24" customHeight="1">
      <c r="A77" s="29" t="s">
        <v>101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30" t="s">
        <v>94</v>
      </c>
      <c r="M77" s="30"/>
      <c r="N77" s="30" t="s">
        <v>141</v>
      </c>
      <c r="O77" s="30"/>
      <c r="P77" s="31">
        <f>40200</f>
        <v>40200</v>
      </c>
      <c r="Q77" s="31"/>
      <c r="R77" s="31"/>
      <c r="S77" s="31">
        <f>40200</f>
        <v>40200</v>
      </c>
      <c r="T77" s="31"/>
      <c r="U77" s="31"/>
      <c r="V77" s="31"/>
      <c r="W77" s="32">
        <f>0</f>
        <v>0</v>
      </c>
      <c r="X77" s="32"/>
    </row>
    <row r="78" spans="1:24" s="1" customFormat="1" ht="13.5" customHeight="1">
      <c r="A78" s="29" t="s">
        <v>110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30" t="s">
        <v>94</v>
      </c>
      <c r="M78" s="30"/>
      <c r="N78" s="30" t="s">
        <v>142</v>
      </c>
      <c r="O78" s="30"/>
      <c r="P78" s="31">
        <f>1496100</f>
        <v>1496100</v>
      </c>
      <c r="Q78" s="31"/>
      <c r="R78" s="31"/>
      <c r="S78" s="31">
        <f>1496100</f>
        <v>1496100</v>
      </c>
      <c r="T78" s="31"/>
      <c r="U78" s="31"/>
      <c r="V78" s="31"/>
      <c r="W78" s="32">
        <f>0</f>
        <v>0</v>
      </c>
      <c r="X78" s="32"/>
    </row>
    <row r="79" spans="1:24" s="1" customFormat="1" ht="24" customHeight="1">
      <c r="A79" s="29" t="s">
        <v>101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30" t="s">
        <v>94</v>
      </c>
      <c r="M79" s="30"/>
      <c r="N79" s="30" t="s">
        <v>143</v>
      </c>
      <c r="O79" s="30"/>
      <c r="P79" s="31">
        <f>4327400</f>
        <v>4327400</v>
      </c>
      <c r="Q79" s="31"/>
      <c r="R79" s="31"/>
      <c r="S79" s="33" t="s">
        <v>46</v>
      </c>
      <c r="T79" s="33"/>
      <c r="U79" s="33"/>
      <c r="V79" s="33"/>
      <c r="W79" s="32">
        <f>4327400</f>
        <v>4327400</v>
      </c>
      <c r="X79" s="32"/>
    </row>
    <row r="80" spans="1:24" s="1" customFormat="1" ht="24" customHeight="1">
      <c r="A80" s="29" t="s">
        <v>101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30" t="s">
        <v>94</v>
      </c>
      <c r="M80" s="30"/>
      <c r="N80" s="30" t="s">
        <v>144</v>
      </c>
      <c r="O80" s="30"/>
      <c r="P80" s="31">
        <f>179000</f>
        <v>179000</v>
      </c>
      <c r="Q80" s="31"/>
      <c r="R80" s="31"/>
      <c r="S80" s="33" t="s">
        <v>46</v>
      </c>
      <c r="T80" s="33"/>
      <c r="U80" s="33"/>
      <c r="V80" s="33"/>
      <c r="W80" s="32">
        <f>179000</f>
        <v>179000</v>
      </c>
      <c r="X80" s="32"/>
    </row>
    <row r="81" spans="1:24" s="1" customFormat="1" ht="24" customHeight="1">
      <c r="A81" s="29" t="s">
        <v>101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30" t="s">
        <v>94</v>
      </c>
      <c r="M81" s="30"/>
      <c r="N81" s="30" t="s">
        <v>145</v>
      </c>
      <c r="O81" s="30"/>
      <c r="P81" s="31">
        <f>159000</f>
        <v>159000</v>
      </c>
      <c r="Q81" s="31"/>
      <c r="R81" s="31"/>
      <c r="S81" s="31">
        <f>60000</f>
        <v>60000</v>
      </c>
      <c r="T81" s="31"/>
      <c r="U81" s="31"/>
      <c r="V81" s="31"/>
      <c r="W81" s="32">
        <f>99000</f>
        <v>99000</v>
      </c>
      <c r="X81" s="32"/>
    </row>
    <row r="82" spans="1:24" s="1" customFormat="1" ht="24" customHeight="1">
      <c r="A82" s="29" t="s">
        <v>101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30" t="s">
        <v>94</v>
      </c>
      <c r="M82" s="30"/>
      <c r="N82" s="30" t="s">
        <v>146</v>
      </c>
      <c r="O82" s="30"/>
      <c r="P82" s="31">
        <f>2830100</f>
        <v>2830100</v>
      </c>
      <c r="Q82" s="31"/>
      <c r="R82" s="31"/>
      <c r="S82" s="31">
        <f>2809965.79</f>
        <v>2809965.79</v>
      </c>
      <c r="T82" s="31"/>
      <c r="U82" s="31"/>
      <c r="V82" s="31"/>
      <c r="W82" s="32">
        <f>20134.21</f>
        <v>20134.21</v>
      </c>
      <c r="X82" s="32"/>
    </row>
    <row r="83" spans="1:24" s="1" customFormat="1" ht="24" customHeight="1">
      <c r="A83" s="29" t="s">
        <v>101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30" t="s">
        <v>94</v>
      </c>
      <c r="M83" s="30"/>
      <c r="N83" s="30" t="s">
        <v>147</v>
      </c>
      <c r="O83" s="30"/>
      <c r="P83" s="31">
        <f>1252000</f>
        <v>1252000</v>
      </c>
      <c r="Q83" s="31"/>
      <c r="R83" s="31"/>
      <c r="S83" s="31">
        <f>1251639.87</f>
        <v>1251639.87</v>
      </c>
      <c r="T83" s="31"/>
      <c r="U83" s="31"/>
      <c r="V83" s="31"/>
      <c r="W83" s="32">
        <f>360.13</f>
        <v>360.13</v>
      </c>
      <c r="X83" s="32"/>
    </row>
    <row r="84" spans="1:24" s="1" customFormat="1" ht="45" customHeight="1">
      <c r="A84" s="29" t="s">
        <v>148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30" t="s">
        <v>94</v>
      </c>
      <c r="M84" s="30"/>
      <c r="N84" s="30" t="s">
        <v>149</v>
      </c>
      <c r="O84" s="30"/>
      <c r="P84" s="31">
        <f>0</f>
        <v>0</v>
      </c>
      <c r="Q84" s="31"/>
      <c r="R84" s="31"/>
      <c r="S84" s="33" t="s">
        <v>46</v>
      </c>
      <c r="T84" s="33"/>
      <c r="U84" s="33"/>
      <c r="V84" s="33"/>
      <c r="W84" s="32">
        <f>0</f>
        <v>0</v>
      </c>
      <c r="X84" s="32"/>
    </row>
    <row r="85" spans="1:24" s="1" customFormat="1" ht="13.5" customHeight="1">
      <c r="A85" s="29" t="s">
        <v>107</v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30" t="s">
        <v>94</v>
      </c>
      <c r="M85" s="30"/>
      <c r="N85" s="30" t="s">
        <v>150</v>
      </c>
      <c r="O85" s="30"/>
      <c r="P85" s="31">
        <f>10000</f>
        <v>10000</v>
      </c>
      <c r="Q85" s="31"/>
      <c r="R85" s="31"/>
      <c r="S85" s="31">
        <f>10000</f>
        <v>10000</v>
      </c>
      <c r="T85" s="31"/>
      <c r="U85" s="31"/>
      <c r="V85" s="31"/>
      <c r="W85" s="32">
        <f>0</f>
        <v>0</v>
      </c>
      <c r="X85" s="32"/>
    </row>
    <row r="86" spans="1:24" s="1" customFormat="1" ht="24" customHeight="1">
      <c r="A86" s="29" t="s">
        <v>101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30" t="s">
        <v>94</v>
      </c>
      <c r="M86" s="30"/>
      <c r="N86" s="30" t="s">
        <v>151</v>
      </c>
      <c r="O86" s="30"/>
      <c r="P86" s="31">
        <f>2000</f>
        <v>2000</v>
      </c>
      <c r="Q86" s="31"/>
      <c r="R86" s="31"/>
      <c r="S86" s="33" t="s">
        <v>46</v>
      </c>
      <c r="T86" s="33"/>
      <c r="U86" s="33"/>
      <c r="V86" s="33"/>
      <c r="W86" s="32">
        <f>2000</f>
        <v>2000</v>
      </c>
      <c r="X86" s="32"/>
    </row>
    <row r="87" spans="1:24" s="1" customFormat="1" ht="24" customHeight="1">
      <c r="A87" s="29" t="s">
        <v>101</v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30" t="s">
        <v>94</v>
      </c>
      <c r="M87" s="30"/>
      <c r="N87" s="30" t="s">
        <v>152</v>
      </c>
      <c r="O87" s="30"/>
      <c r="P87" s="31">
        <f>1100000</f>
        <v>1100000</v>
      </c>
      <c r="Q87" s="31"/>
      <c r="R87" s="31"/>
      <c r="S87" s="31">
        <f>1100000</f>
        <v>1100000</v>
      </c>
      <c r="T87" s="31"/>
      <c r="U87" s="31"/>
      <c r="V87" s="31"/>
      <c r="W87" s="32">
        <f>0</f>
        <v>0</v>
      </c>
      <c r="X87" s="32"/>
    </row>
    <row r="88" spans="1:24" s="1" customFormat="1" ht="24" customHeight="1">
      <c r="A88" s="29" t="s">
        <v>101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30" t="s">
        <v>94</v>
      </c>
      <c r="M88" s="30"/>
      <c r="N88" s="30" t="s">
        <v>153</v>
      </c>
      <c r="O88" s="30"/>
      <c r="P88" s="31">
        <f>3000000</f>
        <v>3000000</v>
      </c>
      <c r="Q88" s="31"/>
      <c r="R88" s="31"/>
      <c r="S88" s="31">
        <f>3000000</f>
        <v>3000000</v>
      </c>
      <c r="T88" s="31"/>
      <c r="U88" s="31"/>
      <c r="V88" s="31"/>
      <c r="W88" s="32">
        <f>0</f>
        <v>0</v>
      </c>
      <c r="X88" s="32"/>
    </row>
    <row r="89" spans="1:24" s="1" customFormat="1" ht="24" customHeight="1">
      <c r="A89" s="29" t="s">
        <v>101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30" t="s">
        <v>94</v>
      </c>
      <c r="M89" s="30"/>
      <c r="N89" s="30" t="s">
        <v>154</v>
      </c>
      <c r="O89" s="30"/>
      <c r="P89" s="31">
        <f>400000</f>
        <v>400000</v>
      </c>
      <c r="Q89" s="31"/>
      <c r="R89" s="31"/>
      <c r="S89" s="31">
        <f>273320.31</f>
        <v>273320.31</v>
      </c>
      <c r="T89" s="31"/>
      <c r="U89" s="31"/>
      <c r="V89" s="31"/>
      <c r="W89" s="32">
        <f>126679.69</f>
        <v>126679.69</v>
      </c>
      <c r="X89" s="32"/>
    </row>
    <row r="90" spans="1:24" s="1" customFormat="1" ht="24" customHeight="1">
      <c r="A90" s="29" t="s">
        <v>101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30" t="s">
        <v>94</v>
      </c>
      <c r="M90" s="30"/>
      <c r="N90" s="30" t="s">
        <v>155</v>
      </c>
      <c r="O90" s="30"/>
      <c r="P90" s="31">
        <f>10000</f>
        <v>10000</v>
      </c>
      <c r="Q90" s="31"/>
      <c r="R90" s="31"/>
      <c r="S90" s="31">
        <f>10000</f>
        <v>10000</v>
      </c>
      <c r="T90" s="31"/>
      <c r="U90" s="31"/>
      <c r="V90" s="31"/>
      <c r="W90" s="32">
        <f>0</f>
        <v>0</v>
      </c>
      <c r="X90" s="32"/>
    </row>
    <row r="91" spans="1:24" s="1" customFormat="1" ht="24" customHeight="1">
      <c r="A91" s="29" t="s">
        <v>101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30" t="s">
        <v>94</v>
      </c>
      <c r="M91" s="30"/>
      <c r="N91" s="30" t="s">
        <v>156</v>
      </c>
      <c r="O91" s="30"/>
      <c r="P91" s="31">
        <f>250000</f>
        <v>250000</v>
      </c>
      <c r="Q91" s="31"/>
      <c r="R91" s="31"/>
      <c r="S91" s="31">
        <f>165585.68</f>
        <v>165585.68</v>
      </c>
      <c r="T91" s="31"/>
      <c r="U91" s="31"/>
      <c r="V91" s="31"/>
      <c r="W91" s="32">
        <f>84414.32</f>
        <v>84414.32</v>
      </c>
      <c r="X91" s="32"/>
    </row>
    <row r="92" spans="1:24" s="1" customFormat="1" ht="24" customHeight="1">
      <c r="A92" s="29" t="s">
        <v>101</v>
      </c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30" t="s">
        <v>94</v>
      </c>
      <c r="M92" s="30"/>
      <c r="N92" s="30" t="s">
        <v>157</v>
      </c>
      <c r="O92" s="30"/>
      <c r="P92" s="31">
        <f>197800</f>
        <v>197800</v>
      </c>
      <c r="Q92" s="31"/>
      <c r="R92" s="31"/>
      <c r="S92" s="31">
        <f>197727.05</f>
        <v>197727.05</v>
      </c>
      <c r="T92" s="31"/>
      <c r="U92" s="31"/>
      <c r="V92" s="31"/>
      <c r="W92" s="32">
        <f>72.95</f>
        <v>72.95</v>
      </c>
      <c r="X92" s="32"/>
    </row>
    <row r="93" spans="1:24" s="1" customFormat="1" ht="24" customHeight="1">
      <c r="A93" s="29" t="s">
        <v>101</v>
      </c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30" t="s">
        <v>94</v>
      </c>
      <c r="M93" s="30"/>
      <c r="N93" s="30" t="s">
        <v>158</v>
      </c>
      <c r="O93" s="30"/>
      <c r="P93" s="31">
        <f>52100</f>
        <v>52100</v>
      </c>
      <c r="Q93" s="31"/>
      <c r="R93" s="31"/>
      <c r="S93" s="33" t="s">
        <v>46</v>
      </c>
      <c r="T93" s="33"/>
      <c r="U93" s="33"/>
      <c r="V93" s="33"/>
      <c r="W93" s="32">
        <f>52100</f>
        <v>52100</v>
      </c>
      <c r="X93" s="32"/>
    </row>
    <row r="94" spans="1:24" s="1" customFormat="1" ht="33.75" customHeight="1">
      <c r="A94" s="29" t="s">
        <v>159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30" t="s">
        <v>94</v>
      </c>
      <c r="M94" s="30"/>
      <c r="N94" s="30" t="s">
        <v>160</v>
      </c>
      <c r="O94" s="30"/>
      <c r="P94" s="31">
        <f>150000</f>
        <v>150000</v>
      </c>
      <c r="Q94" s="31"/>
      <c r="R94" s="31"/>
      <c r="S94" s="31">
        <f>150000</f>
        <v>150000</v>
      </c>
      <c r="T94" s="31"/>
      <c r="U94" s="31"/>
      <c r="V94" s="31"/>
      <c r="W94" s="32">
        <f>0</f>
        <v>0</v>
      </c>
      <c r="X94" s="32"/>
    </row>
    <row r="95" spans="1:24" s="1" customFormat="1" ht="24" customHeight="1">
      <c r="A95" s="29" t="s">
        <v>101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30" t="s">
        <v>94</v>
      </c>
      <c r="M95" s="30"/>
      <c r="N95" s="30" t="s">
        <v>161</v>
      </c>
      <c r="O95" s="30"/>
      <c r="P95" s="31">
        <f>500000</f>
        <v>500000</v>
      </c>
      <c r="Q95" s="31"/>
      <c r="R95" s="31"/>
      <c r="S95" s="31">
        <f>499999.63</f>
        <v>499999.63</v>
      </c>
      <c r="T95" s="31"/>
      <c r="U95" s="31"/>
      <c r="V95" s="31"/>
      <c r="W95" s="32">
        <f>0.37</f>
        <v>0.37</v>
      </c>
      <c r="X95" s="32"/>
    </row>
    <row r="96" spans="1:24" s="1" customFormat="1" ht="24" customHeight="1">
      <c r="A96" s="29" t="s">
        <v>101</v>
      </c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30" t="s">
        <v>94</v>
      </c>
      <c r="M96" s="30"/>
      <c r="N96" s="30" t="s">
        <v>162</v>
      </c>
      <c r="O96" s="30"/>
      <c r="P96" s="31">
        <f>2310000</f>
        <v>2310000</v>
      </c>
      <c r="Q96" s="31"/>
      <c r="R96" s="31"/>
      <c r="S96" s="31">
        <f>2184621.49</f>
        <v>2184621.49</v>
      </c>
      <c r="T96" s="31"/>
      <c r="U96" s="31"/>
      <c r="V96" s="31"/>
      <c r="W96" s="32">
        <f>125378.51</f>
        <v>125378.51</v>
      </c>
      <c r="X96" s="32"/>
    </row>
    <row r="97" spans="1:24" s="1" customFormat="1" ht="24" customHeight="1">
      <c r="A97" s="29" t="s">
        <v>101</v>
      </c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30" t="s">
        <v>94</v>
      </c>
      <c r="M97" s="30"/>
      <c r="N97" s="30" t="s">
        <v>163</v>
      </c>
      <c r="O97" s="30"/>
      <c r="P97" s="31">
        <f>500000</f>
        <v>500000</v>
      </c>
      <c r="Q97" s="31"/>
      <c r="R97" s="31"/>
      <c r="S97" s="31">
        <f>491296.55</f>
        <v>491296.55</v>
      </c>
      <c r="T97" s="31"/>
      <c r="U97" s="31"/>
      <c r="V97" s="31"/>
      <c r="W97" s="32">
        <f>8703.45</f>
        <v>8703.45</v>
      </c>
      <c r="X97" s="32"/>
    </row>
    <row r="98" spans="1:24" s="1" customFormat="1" ht="24" customHeight="1">
      <c r="A98" s="29" t="s">
        <v>101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30" t="s">
        <v>94</v>
      </c>
      <c r="M98" s="30"/>
      <c r="N98" s="30" t="s">
        <v>164</v>
      </c>
      <c r="O98" s="30"/>
      <c r="P98" s="31">
        <f>147700</f>
        <v>147700</v>
      </c>
      <c r="Q98" s="31"/>
      <c r="R98" s="31"/>
      <c r="S98" s="31">
        <f>147700</f>
        <v>147700</v>
      </c>
      <c r="T98" s="31"/>
      <c r="U98" s="31"/>
      <c r="V98" s="31"/>
      <c r="W98" s="32">
        <f>0</f>
        <v>0</v>
      </c>
      <c r="X98" s="32"/>
    </row>
    <row r="99" spans="1:24" s="1" customFormat="1" ht="24" customHeight="1">
      <c r="A99" s="29" t="s">
        <v>101</v>
      </c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30" t="s">
        <v>94</v>
      </c>
      <c r="M99" s="30"/>
      <c r="N99" s="30" t="s">
        <v>165</v>
      </c>
      <c r="O99" s="30"/>
      <c r="P99" s="31">
        <f>3422851.44</f>
        <v>3422851.44</v>
      </c>
      <c r="Q99" s="31"/>
      <c r="R99" s="31"/>
      <c r="S99" s="31">
        <f>2997698.94</f>
        <v>2997698.94</v>
      </c>
      <c r="T99" s="31"/>
      <c r="U99" s="31"/>
      <c r="V99" s="31"/>
      <c r="W99" s="32">
        <f>425152.5</f>
        <v>425152.5</v>
      </c>
      <c r="X99" s="32"/>
    </row>
    <row r="100" spans="1:24" s="1" customFormat="1" ht="24" customHeight="1">
      <c r="A100" s="29" t="s">
        <v>101</v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30" t="s">
        <v>94</v>
      </c>
      <c r="M100" s="30"/>
      <c r="N100" s="30" t="s">
        <v>166</v>
      </c>
      <c r="O100" s="30"/>
      <c r="P100" s="31">
        <f>1000000</f>
        <v>1000000</v>
      </c>
      <c r="Q100" s="31"/>
      <c r="R100" s="31"/>
      <c r="S100" s="31">
        <f>286936</f>
        <v>286936</v>
      </c>
      <c r="T100" s="31"/>
      <c r="U100" s="31"/>
      <c r="V100" s="31"/>
      <c r="W100" s="32">
        <f>713064</f>
        <v>713064</v>
      </c>
      <c r="X100" s="32"/>
    </row>
    <row r="101" spans="1:24" s="1" customFormat="1" ht="24" customHeight="1">
      <c r="A101" s="29" t="s">
        <v>101</v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30" t="s">
        <v>94</v>
      </c>
      <c r="M101" s="30"/>
      <c r="N101" s="30" t="s">
        <v>167</v>
      </c>
      <c r="O101" s="30"/>
      <c r="P101" s="31">
        <f>55100</f>
        <v>55100</v>
      </c>
      <c r="Q101" s="31"/>
      <c r="R101" s="31"/>
      <c r="S101" s="31">
        <f>55016.89</f>
        <v>55016.89</v>
      </c>
      <c r="T101" s="31"/>
      <c r="U101" s="31"/>
      <c r="V101" s="31"/>
      <c r="W101" s="32">
        <f>83.11</f>
        <v>83.11</v>
      </c>
      <c r="X101" s="32"/>
    </row>
    <row r="102" spans="1:24" s="1" customFormat="1" ht="24" customHeight="1">
      <c r="A102" s="29" t="s">
        <v>101</v>
      </c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30" t="s">
        <v>94</v>
      </c>
      <c r="M102" s="30"/>
      <c r="N102" s="30" t="s">
        <v>168</v>
      </c>
      <c r="O102" s="30"/>
      <c r="P102" s="31">
        <f>26000</f>
        <v>26000</v>
      </c>
      <c r="Q102" s="31"/>
      <c r="R102" s="31"/>
      <c r="S102" s="31">
        <f>25938.2</f>
        <v>25938.2</v>
      </c>
      <c r="T102" s="31"/>
      <c r="U102" s="31"/>
      <c r="V102" s="31"/>
      <c r="W102" s="32">
        <f>61.8</f>
        <v>61.8</v>
      </c>
      <c r="X102" s="32"/>
    </row>
    <row r="103" spans="1:24" s="1" customFormat="1" ht="33.75" customHeight="1">
      <c r="A103" s="29" t="s">
        <v>169</v>
      </c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30" t="s">
        <v>94</v>
      </c>
      <c r="M103" s="30"/>
      <c r="N103" s="30" t="s">
        <v>170</v>
      </c>
      <c r="O103" s="30"/>
      <c r="P103" s="31">
        <f>1961700</f>
        <v>1961700</v>
      </c>
      <c r="Q103" s="31"/>
      <c r="R103" s="31"/>
      <c r="S103" s="31">
        <f>1961700</f>
        <v>1961700</v>
      </c>
      <c r="T103" s="31"/>
      <c r="U103" s="31"/>
      <c r="V103" s="31"/>
      <c r="W103" s="32">
        <f aca="true" t="shared" si="2" ref="W103:W109">0</f>
        <v>0</v>
      </c>
      <c r="X103" s="32"/>
    </row>
    <row r="104" spans="1:24" s="1" customFormat="1" ht="33.75" customHeight="1">
      <c r="A104" s="29" t="s">
        <v>169</v>
      </c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30" t="s">
        <v>94</v>
      </c>
      <c r="M104" s="30"/>
      <c r="N104" s="30" t="s">
        <v>171</v>
      </c>
      <c r="O104" s="30"/>
      <c r="P104" s="31">
        <f>720000</f>
        <v>720000</v>
      </c>
      <c r="Q104" s="31"/>
      <c r="R104" s="31"/>
      <c r="S104" s="31">
        <f>720000</f>
        <v>720000</v>
      </c>
      <c r="T104" s="31"/>
      <c r="U104" s="31"/>
      <c r="V104" s="31"/>
      <c r="W104" s="32">
        <f t="shared" si="2"/>
        <v>0</v>
      </c>
      <c r="X104" s="32"/>
    </row>
    <row r="105" spans="1:24" s="1" customFormat="1" ht="33.75" customHeight="1">
      <c r="A105" s="29" t="s">
        <v>169</v>
      </c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30" t="s">
        <v>94</v>
      </c>
      <c r="M105" s="30"/>
      <c r="N105" s="30" t="s">
        <v>172</v>
      </c>
      <c r="O105" s="30"/>
      <c r="P105" s="31">
        <f>0</f>
        <v>0</v>
      </c>
      <c r="Q105" s="31"/>
      <c r="R105" s="31"/>
      <c r="S105" s="33" t="s">
        <v>46</v>
      </c>
      <c r="T105" s="33"/>
      <c r="U105" s="33"/>
      <c r="V105" s="33"/>
      <c r="W105" s="32">
        <f t="shared" si="2"/>
        <v>0</v>
      </c>
      <c r="X105" s="32"/>
    </row>
    <row r="106" spans="1:24" s="1" customFormat="1" ht="33.75" customHeight="1">
      <c r="A106" s="29" t="s">
        <v>169</v>
      </c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30" t="s">
        <v>94</v>
      </c>
      <c r="M106" s="30"/>
      <c r="N106" s="30" t="s">
        <v>173</v>
      </c>
      <c r="O106" s="30"/>
      <c r="P106" s="31">
        <f>0</f>
        <v>0</v>
      </c>
      <c r="Q106" s="31"/>
      <c r="R106" s="31"/>
      <c r="S106" s="33" t="s">
        <v>46</v>
      </c>
      <c r="T106" s="33"/>
      <c r="U106" s="33"/>
      <c r="V106" s="33"/>
      <c r="W106" s="32">
        <f t="shared" si="2"/>
        <v>0</v>
      </c>
      <c r="X106" s="32"/>
    </row>
    <row r="107" spans="1:24" s="1" customFormat="1" ht="33.75" customHeight="1">
      <c r="A107" s="29" t="s">
        <v>169</v>
      </c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30" t="s">
        <v>94</v>
      </c>
      <c r="M107" s="30"/>
      <c r="N107" s="30" t="s">
        <v>174</v>
      </c>
      <c r="O107" s="30"/>
      <c r="P107" s="31">
        <f>6928900</f>
        <v>6928900</v>
      </c>
      <c r="Q107" s="31"/>
      <c r="R107" s="31"/>
      <c r="S107" s="31">
        <f>6928900</f>
        <v>6928900</v>
      </c>
      <c r="T107" s="31"/>
      <c r="U107" s="31"/>
      <c r="V107" s="31"/>
      <c r="W107" s="32">
        <f t="shared" si="2"/>
        <v>0</v>
      </c>
      <c r="X107" s="32"/>
    </row>
    <row r="108" spans="1:24" s="1" customFormat="1" ht="33.75" customHeight="1">
      <c r="A108" s="29" t="s">
        <v>169</v>
      </c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30" t="s">
        <v>94</v>
      </c>
      <c r="M108" s="30"/>
      <c r="N108" s="30" t="s">
        <v>175</v>
      </c>
      <c r="O108" s="30"/>
      <c r="P108" s="31">
        <f>45000</f>
        <v>45000</v>
      </c>
      <c r="Q108" s="31"/>
      <c r="R108" s="31"/>
      <c r="S108" s="31">
        <f>45000</f>
        <v>45000</v>
      </c>
      <c r="T108" s="31"/>
      <c r="U108" s="31"/>
      <c r="V108" s="31"/>
      <c r="W108" s="32">
        <f t="shared" si="2"/>
        <v>0</v>
      </c>
      <c r="X108" s="32"/>
    </row>
    <row r="109" spans="1:24" s="1" customFormat="1" ht="24" customHeight="1">
      <c r="A109" s="29" t="s">
        <v>101</v>
      </c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30" t="s">
        <v>94</v>
      </c>
      <c r="M109" s="30"/>
      <c r="N109" s="30" t="s">
        <v>176</v>
      </c>
      <c r="O109" s="30"/>
      <c r="P109" s="31">
        <f>90800</f>
        <v>90800</v>
      </c>
      <c r="Q109" s="31"/>
      <c r="R109" s="31"/>
      <c r="S109" s="31">
        <f>90800</f>
        <v>90800</v>
      </c>
      <c r="T109" s="31"/>
      <c r="U109" s="31"/>
      <c r="V109" s="31"/>
      <c r="W109" s="32">
        <f t="shared" si="2"/>
        <v>0</v>
      </c>
      <c r="X109" s="32"/>
    </row>
    <row r="110" spans="1:24" s="1" customFormat="1" ht="24" customHeight="1">
      <c r="A110" s="29" t="s">
        <v>101</v>
      </c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30" t="s">
        <v>94</v>
      </c>
      <c r="M110" s="30"/>
      <c r="N110" s="30" t="s">
        <v>177</v>
      </c>
      <c r="O110" s="30"/>
      <c r="P110" s="31">
        <f>523300</f>
        <v>523300</v>
      </c>
      <c r="Q110" s="31"/>
      <c r="R110" s="31"/>
      <c r="S110" s="31">
        <f>523277.67</f>
        <v>523277.67</v>
      </c>
      <c r="T110" s="31"/>
      <c r="U110" s="31"/>
      <c r="V110" s="31"/>
      <c r="W110" s="32">
        <f>22.33</f>
        <v>22.33</v>
      </c>
      <c r="X110" s="32"/>
    </row>
    <row r="111" spans="1:24" s="1" customFormat="1" ht="24" customHeight="1">
      <c r="A111" s="29" t="s">
        <v>101</v>
      </c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30" t="s">
        <v>94</v>
      </c>
      <c r="M111" s="30"/>
      <c r="N111" s="30" t="s">
        <v>178</v>
      </c>
      <c r="O111" s="30"/>
      <c r="P111" s="31">
        <f>30000</f>
        <v>30000</v>
      </c>
      <c r="Q111" s="31"/>
      <c r="R111" s="31"/>
      <c r="S111" s="33" t="s">
        <v>46</v>
      </c>
      <c r="T111" s="33"/>
      <c r="U111" s="33"/>
      <c r="V111" s="33"/>
      <c r="W111" s="32">
        <f>30000</f>
        <v>30000</v>
      </c>
      <c r="X111" s="32"/>
    </row>
    <row r="112" spans="1:24" s="1" customFormat="1" ht="24" customHeight="1">
      <c r="A112" s="29" t="s">
        <v>101</v>
      </c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30" t="s">
        <v>94</v>
      </c>
      <c r="M112" s="30"/>
      <c r="N112" s="30" t="s">
        <v>179</v>
      </c>
      <c r="O112" s="30"/>
      <c r="P112" s="31">
        <f>127400</f>
        <v>127400</v>
      </c>
      <c r="Q112" s="31"/>
      <c r="R112" s="31"/>
      <c r="S112" s="31">
        <f>127325</f>
        <v>127325</v>
      </c>
      <c r="T112" s="31"/>
      <c r="U112" s="31"/>
      <c r="V112" s="31"/>
      <c r="W112" s="32">
        <f>75</f>
        <v>75</v>
      </c>
      <c r="X112" s="32"/>
    </row>
    <row r="113" spans="1:24" s="1" customFormat="1" ht="13.5" customHeight="1">
      <c r="A113" s="29" t="s">
        <v>180</v>
      </c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30" t="s">
        <v>94</v>
      </c>
      <c r="M113" s="30"/>
      <c r="N113" s="30" t="s">
        <v>181</v>
      </c>
      <c r="O113" s="30"/>
      <c r="P113" s="31">
        <f>126400</f>
        <v>126400</v>
      </c>
      <c r="Q113" s="31"/>
      <c r="R113" s="31"/>
      <c r="S113" s="31">
        <f>115796.26</f>
        <v>115796.26</v>
      </c>
      <c r="T113" s="31"/>
      <c r="U113" s="31"/>
      <c r="V113" s="31"/>
      <c r="W113" s="32">
        <f>10603.74</f>
        <v>10603.74</v>
      </c>
      <c r="X113" s="32"/>
    </row>
    <row r="114" spans="1:24" s="1" customFormat="1" ht="24" customHeight="1">
      <c r="A114" s="29" t="s">
        <v>182</v>
      </c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30" t="s">
        <v>94</v>
      </c>
      <c r="M114" s="30"/>
      <c r="N114" s="30" t="s">
        <v>183</v>
      </c>
      <c r="O114" s="30"/>
      <c r="P114" s="33" t="s">
        <v>46</v>
      </c>
      <c r="Q114" s="33"/>
      <c r="R114" s="33"/>
      <c r="S114" s="31">
        <f>0</f>
        <v>0</v>
      </c>
      <c r="T114" s="31"/>
      <c r="U114" s="31"/>
      <c r="V114" s="31"/>
      <c r="W114" s="32">
        <f>0</f>
        <v>0</v>
      </c>
      <c r="X114" s="32"/>
    </row>
    <row r="115" spans="1:24" s="1" customFormat="1" ht="33.75" customHeight="1">
      <c r="A115" s="29" t="s">
        <v>169</v>
      </c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30" t="s">
        <v>94</v>
      </c>
      <c r="M115" s="30"/>
      <c r="N115" s="30" t="s">
        <v>184</v>
      </c>
      <c r="O115" s="30"/>
      <c r="P115" s="31">
        <f>1300000</f>
        <v>1300000</v>
      </c>
      <c r="Q115" s="31"/>
      <c r="R115" s="31"/>
      <c r="S115" s="31">
        <f>1300000</f>
        <v>1300000</v>
      </c>
      <c r="T115" s="31"/>
      <c r="U115" s="31"/>
      <c r="V115" s="31"/>
      <c r="W115" s="32">
        <f>0</f>
        <v>0</v>
      </c>
      <c r="X115" s="32"/>
    </row>
    <row r="116" spans="1:24" s="1" customFormat="1" ht="24" customHeight="1">
      <c r="A116" s="29" t="s">
        <v>101</v>
      </c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30" t="s">
        <v>94</v>
      </c>
      <c r="M116" s="30"/>
      <c r="N116" s="30" t="s">
        <v>185</v>
      </c>
      <c r="O116" s="30"/>
      <c r="P116" s="31">
        <f>447700</f>
        <v>447700</v>
      </c>
      <c r="Q116" s="31"/>
      <c r="R116" s="31"/>
      <c r="S116" s="31">
        <f>390922.4</f>
        <v>390922.4</v>
      </c>
      <c r="T116" s="31"/>
      <c r="U116" s="31"/>
      <c r="V116" s="31"/>
      <c r="W116" s="32">
        <f>56777.6</f>
        <v>56777.6</v>
      </c>
      <c r="X116" s="32"/>
    </row>
    <row r="117" spans="1:24" s="1" customFormat="1" ht="13.5" customHeight="1">
      <c r="A117" s="29" t="s">
        <v>186</v>
      </c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30" t="s">
        <v>94</v>
      </c>
      <c r="M117" s="30"/>
      <c r="N117" s="30" t="s">
        <v>187</v>
      </c>
      <c r="O117" s="30"/>
      <c r="P117" s="31">
        <f>100</f>
        <v>100</v>
      </c>
      <c r="Q117" s="31"/>
      <c r="R117" s="31"/>
      <c r="S117" s="31">
        <f>47.17</f>
        <v>47.17</v>
      </c>
      <c r="T117" s="31"/>
      <c r="U117" s="31"/>
      <c r="V117" s="31"/>
      <c r="W117" s="32">
        <f>52.83</f>
        <v>52.83</v>
      </c>
      <c r="X117" s="32"/>
    </row>
    <row r="118" spans="1:24" s="1" customFormat="1" ht="15" customHeight="1">
      <c r="A118" s="34" t="s">
        <v>188</v>
      </c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5" t="s">
        <v>189</v>
      </c>
      <c r="M118" s="35"/>
      <c r="N118" s="35" t="s">
        <v>37</v>
      </c>
      <c r="O118" s="35"/>
      <c r="P118" s="36">
        <f>-1331551.44</f>
        <v>-1331551.44</v>
      </c>
      <c r="Q118" s="36"/>
      <c r="R118" s="36"/>
      <c r="S118" s="36">
        <f>472692.52</f>
        <v>472692.52</v>
      </c>
      <c r="T118" s="36"/>
      <c r="U118" s="36"/>
      <c r="V118" s="36"/>
      <c r="W118" s="37" t="s">
        <v>37</v>
      </c>
      <c r="X118" s="37"/>
    </row>
    <row r="119" spans="1:24" s="1" customFormat="1" ht="13.5" customHeight="1">
      <c r="A119" s="7" t="s">
        <v>13</v>
      </c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</row>
    <row r="120" spans="1:24" s="1" customFormat="1" ht="13.5" customHeight="1">
      <c r="A120" s="12" t="s">
        <v>190</v>
      </c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</row>
    <row r="121" spans="1:24" s="1" customFormat="1" ht="45.75" customHeight="1">
      <c r="A121" s="13" t="s">
        <v>23</v>
      </c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 t="s">
        <v>24</v>
      </c>
      <c r="M121" s="13"/>
      <c r="N121" s="13" t="s">
        <v>191</v>
      </c>
      <c r="O121" s="13"/>
      <c r="P121" s="14" t="s">
        <v>26</v>
      </c>
      <c r="Q121" s="14"/>
      <c r="R121" s="14"/>
      <c r="S121" s="14" t="s">
        <v>27</v>
      </c>
      <c r="T121" s="14"/>
      <c r="U121" s="14"/>
      <c r="V121" s="14"/>
      <c r="W121" s="15" t="s">
        <v>28</v>
      </c>
      <c r="X121" s="15"/>
    </row>
    <row r="122" spans="1:24" s="1" customFormat="1" ht="12.75" customHeight="1">
      <c r="A122" s="16" t="s">
        <v>29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 t="s">
        <v>30</v>
      </c>
      <c r="M122" s="16"/>
      <c r="N122" s="16" t="s">
        <v>31</v>
      </c>
      <c r="O122" s="16"/>
      <c r="P122" s="17" t="s">
        <v>32</v>
      </c>
      <c r="Q122" s="17"/>
      <c r="R122" s="17"/>
      <c r="S122" s="17" t="s">
        <v>33</v>
      </c>
      <c r="T122" s="17"/>
      <c r="U122" s="17"/>
      <c r="V122" s="17"/>
      <c r="W122" s="18" t="s">
        <v>34</v>
      </c>
      <c r="X122" s="18"/>
    </row>
    <row r="123" spans="1:24" s="1" customFormat="1" ht="13.5" customHeight="1">
      <c r="A123" s="19" t="s">
        <v>192</v>
      </c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20" t="s">
        <v>193</v>
      </c>
      <c r="M123" s="20"/>
      <c r="N123" s="20" t="s">
        <v>37</v>
      </c>
      <c r="O123" s="20"/>
      <c r="P123" s="38">
        <f>1331551.44</f>
        <v>1331551.44</v>
      </c>
      <c r="Q123" s="38"/>
      <c r="R123" s="38"/>
      <c r="S123" s="21">
        <f>-472692.52</f>
        <v>-472692.52</v>
      </c>
      <c r="T123" s="21"/>
      <c r="U123" s="21"/>
      <c r="V123" s="21"/>
      <c r="W123" s="39">
        <f>1804243.96</f>
        <v>1804243.96</v>
      </c>
      <c r="X123" s="39"/>
    </row>
    <row r="124" spans="1:24" s="1" customFormat="1" ht="13.5" customHeight="1">
      <c r="A124" s="40" t="s">
        <v>194</v>
      </c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1" t="s">
        <v>13</v>
      </c>
      <c r="M124" s="41"/>
      <c r="N124" s="41" t="s">
        <v>13</v>
      </c>
      <c r="O124" s="41"/>
      <c r="P124" s="42" t="s">
        <v>13</v>
      </c>
      <c r="Q124" s="42"/>
      <c r="R124" s="42"/>
      <c r="S124" s="43" t="s">
        <v>13</v>
      </c>
      <c r="T124" s="43"/>
      <c r="U124" s="43"/>
      <c r="V124" s="43"/>
      <c r="W124" s="44" t="s">
        <v>13</v>
      </c>
      <c r="X124" s="44"/>
    </row>
    <row r="125" spans="1:24" s="1" customFormat="1" ht="13.5" customHeight="1">
      <c r="A125" s="23" t="s">
        <v>195</v>
      </c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45" t="s">
        <v>196</v>
      </c>
      <c r="M125" s="45"/>
      <c r="N125" s="24" t="s">
        <v>37</v>
      </c>
      <c r="O125" s="24"/>
      <c r="P125" s="46">
        <f>-104000</f>
        <v>-104000</v>
      </c>
      <c r="Q125" s="46"/>
      <c r="R125" s="46"/>
      <c r="S125" s="25">
        <f>-104000</f>
        <v>-104000</v>
      </c>
      <c r="T125" s="25"/>
      <c r="U125" s="25"/>
      <c r="V125" s="25"/>
      <c r="W125" s="47">
        <f>0</f>
        <v>0</v>
      </c>
      <c r="X125" s="47"/>
    </row>
    <row r="126" spans="1:24" s="1" customFormat="1" ht="24" customHeight="1">
      <c r="A126" s="29" t="s">
        <v>197</v>
      </c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30" t="s">
        <v>196</v>
      </c>
      <c r="M126" s="30"/>
      <c r="N126" s="30" t="s">
        <v>198</v>
      </c>
      <c r="O126" s="30"/>
      <c r="P126" s="48">
        <f>-104000</f>
        <v>-104000</v>
      </c>
      <c r="Q126" s="48"/>
      <c r="R126" s="48"/>
      <c r="S126" s="31">
        <f>-104000</f>
        <v>-104000</v>
      </c>
      <c r="T126" s="31"/>
      <c r="U126" s="31"/>
      <c r="V126" s="31"/>
      <c r="W126" s="49">
        <f>0</f>
        <v>0</v>
      </c>
      <c r="X126" s="49"/>
    </row>
    <row r="127" spans="1:24" s="1" customFormat="1" ht="0.75" customHeight="1">
      <c r="A127" s="50" t="s">
        <v>13</v>
      </c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</row>
    <row r="128" spans="1:24" s="1" customFormat="1" ht="13.5" customHeight="1">
      <c r="A128" s="29" t="s">
        <v>199</v>
      </c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41" t="s">
        <v>200</v>
      </c>
      <c r="M128" s="41"/>
      <c r="N128" s="41" t="s">
        <v>37</v>
      </c>
      <c r="O128" s="41"/>
      <c r="P128" s="42" t="s">
        <v>46</v>
      </c>
      <c r="Q128" s="42"/>
      <c r="R128" s="42"/>
      <c r="S128" s="33" t="s">
        <v>46</v>
      </c>
      <c r="T128" s="33"/>
      <c r="U128" s="33"/>
      <c r="V128" s="33"/>
      <c r="W128" s="44" t="s">
        <v>46</v>
      </c>
      <c r="X128" s="44"/>
    </row>
    <row r="129" spans="1:24" s="1" customFormat="1" ht="13.5" customHeight="1">
      <c r="A129" s="29" t="s">
        <v>13</v>
      </c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30" t="s">
        <v>200</v>
      </c>
      <c r="M129" s="30"/>
      <c r="N129" s="30" t="s">
        <v>13</v>
      </c>
      <c r="O129" s="30"/>
      <c r="P129" s="51" t="s">
        <v>46</v>
      </c>
      <c r="Q129" s="51"/>
      <c r="R129" s="51"/>
      <c r="S129" s="33" t="s">
        <v>46</v>
      </c>
      <c r="T129" s="33"/>
      <c r="U129" s="33"/>
      <c r="V129" s="33"/>
      <c r="W129" s="52" t="s">
        <v>46</v>
      </c>
      <c r="X129" s="52"/>
    </row>
    <row r="130" spans="1:24" s="1" customFormat="1" ht="13.5" customHeight="1">
      <c r="A130" s="29" t="s">
        <v>201</v>
      </c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30" t="s">
        <v>202</v>
      </c>
      <c r="M130" s="30"/>
      <c r="N130" s="30" t="s">
        <v>203</v>
      </c>
      <c r="O130" s="30"/>
      <c r="P130" s="48">
        <f>1435551.44</f>
        <v>1435551.44</v>
      </c>
      <c r="Q130" s="48"/>
      <c r="R130" s="48"/>
      <c r="S130" s="31">
        <f>-368692.52</f>
        <v>-368692.52</v>
      </c>
      <c r="T130" s="31"/>
      <c r="U130" s="31"/>
      <c r="V130" s="31"/>
      <c r="W130" s="49">
        <f>1804243.96</f>
        <v>1804243.96</v>
      </c>
      <c r="X130" s="49"/>
    </row>
    <row r="131" spans="1:24" s="1" customFormat="1" ht="13.5" customHeight="1">
      <c r="A131" s="29" t="s">
        <v>204</v>
      </c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30" t="s">
        <v>205</v>
      </c>
      <c r="M131" s="30"/>
      <c r="N131" s="30" t="s">
        <v>206</v>
      </c>
      <c r="O131" s="30"/>
      <c r="P131" s="48">
        <f>-49137300</f>
        <v>-49137300</v>
      </c>
      <c r="Q131" s="48"/>
      <c r="R131" s="48"/>
      <c r="S131" s="31">
        <f>-45179498.87</f>
        <v>-45179498.87</v>
      </c>
      <c r="T131" s="31"/>
      <c r="U131" s="31"/>
      <c r="V131" s="31"/>
      <c r="W131" s="53" t="s">
        <v>37</v>
      </c>
      <c r="X131" s="53"/>
    </row>
    <row r="132" spans="1:24" s="1" customFormat="1" ht="13.5" customHeight="1">
      <c r="A132" s="29" t="s">
        <v>207</v>
      </c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30" t="s">
        <v>208</v>
      </c>
      <c r="M132" s="30"/>
      <c r="N132" s="30" t="s">
        <v>209</v>
      </c>
      <c r="O132" s="30"/>
      <c r="P132" s="48">
        <f>50572851.44</f>
        <v>50572851.44</v>
      </c>
      <c r="Q132" s="48"/>
      <c r="R132" s="48"/>
      <c r="S132" s="31">
        <f>44810806.35</f>
        <v>44810806.35</v>
      </c>
      <c r="T132" s="31"/>
      <c r="U132" s="31"/>
      <c r="V132" s="31"/>
      <c r="W132" s="53" t="s">
        <v>37</v>
      </c>
      <c r="X132" s="53"/>
    </row>
    <row r="133" spans="1:24" s="1" customFormat="1" ht="13.5" customHeight="1">
      <c r="A133" s="55" t="s">
        <v>13</v>
      </c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</row>
    <row r="134" spans="1:24" s="1" customFormat="1" ht="13.5" customHeight="1">
      <c r="A134" s="7" t="s">
        <v>13</v>
      </c>
      <c r="B134" s="7"/>
      <c r="C134" s="7"/>
      <c r="D134" s="7"/>
      <c r="E134" s="7"/>
      <c r="F134" s="7"/>
      <c r="G134" s="7"/>
      <c r="H134" s="7"/>
      <c r="I134" s="54" t="s">
        <v>13</v>
      </c>
      <c r="J134" s="54"/>
      <c r="K134" s="54"/>
      <c r="L134" s="54"/>
      <c r="M134" s="54"/>
      <c r="N134" s="54" t="s">
        <v>210</v>
      </c>
      <c r="O134" s="54"/>
      <c r="P134" s="54"/>
      <c r="Q134" s="54"/>
      <c r="R134" s="7" t="s">
        <v>13</v>
      </c>
      <c r="S134" s="7"/>
      <c r="T134" s="7"/>
      <c r="U134" s="7"/>
      <c r="V134" s="7"/>
      <c r="W134" s="7"/>
      <c r="X134" s="7"/>
    </row>
    <row r="135" spans="1:24" s="1" customFormat="1" ht="13.5" customHeight="1">
      <c r="A135" s="7" t="s">
        <v>13</v>
      </c>
      <c r="B135" s="7"/>
      <c r="C135" s="7"/>
      <c r="D135" s="7"/>
      <c r="E135" s="7"/>
      <c r="F135" s="7"/>
      <c r="G135" s="7"/>
      <c r="H135" s="7"/>
      <c r="I135" s="10" t="s">
        <v>13</v>
      </c>
      <c r="J135" s="56" t="s">
        <v>211</v>
      </c>
      <c r="K135" s="56"/>
      <c r="L135" s="56"/>
      <c r="M135" s="10" t="s">
        <v>13</v>
      </c>
      <c r="N135" s="10" t="s">
        <v>13</v>
      </c>
      <c r="O135" s="56" t="s">
        <v>212</v>
      </c>
      <c r="P135" s="56"/>
      <c r="Q135" s="7" t="s">
        <v>13</v>
      </c>
      <c r="R135" s="7"/>
      <c r="S135" s="7"/>
      <c r="T135" s="7"/>
      <c r="U135" s="7"/>
      <c r="V135" s="7"/>
      <c r="W135" s="7"/>
      <c r="X135" s="7"/>
    </row>
    <row r="136" spans="1:24" s="1" customFormat="1" ht="7.5" customHeight="1">
      <c r="A136" s="7" t="s">
        <v>13</v>
      </c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</row>
    <row r="137" spans="1:24" s="1" customFormat="1" ht="13.5" customHeight="1">
      <c r="A137" s="7" t="s">
        <v>13</v>
      </c>
      <c r="B137" s="7"/>
      <c r="C137" s="7"/>
      <c r="D137" s="7"/>
      <c r="E137" s="7"/>
      <c r="F137" s="7"/>
      <c r="G137" s="7"/>
      <c r="H137" s="7"/>
      <c r="I137" s="54" t="s">
        <v>13</v>
      </c>
      <c r="J137" s="54"/>
      <c r="K137" s="54"/>
      <c r="L137" s="54"/>
      <c r="M137" s="54"/>
      <c r="N137" s="54" t="s">
        <v>213</v>
      </c>
      <c r="O137" s="54"/>
      <c r="P137" s="54"/>
      <c r="Q137" s="54"/>
      <c r="R137" s="7" t="s">
        <v>13</v>
      </c>
      <c r="S137" s="7"/>
      <c r="T137" s="7"/>
      <c r="U137" s="7"/>
      <c r="V137" s="7"/>
      <c r="W137" s="7"/>
      <c r="X137" s="7"/>
    </row>
    <row r="138" spans="1:24" s="1" customFormat="1" ht="13.5" customHeight="1">
      <c r="A138" s="7" t="s">
        <v>13</v>
      </c>
      <c r="B138" s="7"/>
      <c r="C138" s="7"/>
      <c r="D138" s="7"/>
      <c r="E138" s="7"/>
      <c r="F138" s="7"/>
      <c r="G138" s="7"/>
      <c r="H138" s="7"/>
      <c r="I138" s="10" t="s">
        <v>13</v>
      </c>
      <c r="J138" s="56" t="s">
        <v>211</v>
      </c>
      <c r="K138" s="56"/>
      <c r="L138" s="56"/>
      <c r="M138" s="10" t="s">
        <v>13</v>
      </c>
      <c r="N138" s="10" t="s">
        <v>13</v>
      </c>
      <c r="O138" s="56" t="s">
        <v>212</v>
      </c>
      <c r="P138" s="56"/>
      <c r="Q138" s="7" t="s">
        <v>13</v>
      </c>
      <c r="R138" s="7"/>
      <c r="S138" s="7"/>
      <c r="T138" s="7"/>
      <c r="U138" s="7"/>
      <c r="V138" s="7"/>
      <c r="W138" s="7"/>
      <c r="X138" s="7"/>
    </row>
    <row r="139" spans="1:24" s="1" customFormat="1" ht="7.5" customHeight="1">
      <c r="A139" s="7" t="s">
        <v>13</v>
      </c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</row>
    <row r="140" spans="1:24" s="1" customFormat="1" ht="13.5" customHeight="1">
      <c r="A140" s="7" t="s">
        <v>214</v>
      </c>
      <c r="B140" s="7"/>
      <c r="C140" s="54" t="s">
        <v>13</v>
      </c>
      <c r="D140" s="54"/>
      <c r="E140" s="54"/>
      <c r="F140" s="54"/>
      <c r="G140" s="54"/>
      <c r="H140" s="54"/>
      <c r="I140" s="54" t="s">
        <v>13</v>
      </c>
      <c r="J140" s="54"/>
      <c r="K140" s="54"/>
      <c r="L140" s="54"/>
      <c r="M140" s="54"/>
      <c r="N140" s="54" t="s">
        <v>215</v>
      </c>
      <c r="O140" s="54"/>
      <c r="P140" s="54"/>
      <c r="Q140" s="54"/>
      <c r="R140" s="7" t="s">
        <v>13</v>
      </c>
      <c r="S140" s="7"/>
      <c r="T140" s="7"/>
      <c r="U140" s="7"/>
      <c r="V140" s="7"/>
      <c r="W140" s="7"/>
      <c r="X140" s="7"/>
    </row>
    <row r="141" spans="1:24" s="1" customFormat="1" ht="13.5" customHeight="1">
      <c r="A141" s="7" t="s">
        <v>13</v>
      </c>
      <c r="B141" s="7"/>
      <c r="C141" s="10" t="s">
        <v>13</v>
      </c>
      <c r="D141" s="56" t="s">
        <v>216</v>
      </c>
      <c r="E141" s="56"/>
      <c r="F141" s="56"/>
      <c r="G141" s="56"/>
      <c r="H141" s="10" t="s">
        <v>13</v>
      </c>
      <c r="I141" s="10" t="s">
        <v>13</v>
      </c>
      <c r="J141" s="56" t="s">
        <v>211</v>
      </c>
      <c r="K141" s="56"/>
      <c r="L141" s="56"/>
      <c r="M141" s="10" t="s">
        <v>13</v>
      </c>
      <c r="N141" s="10" t="s">
        <v>13</v>
      </c>
      <c r="O141" s="56" t="s">
        <v>212</v>
      </c>
      <c r="P141" s="56"/>
      <c r="Q141" s="7" t="s">
        <v>13</v>
      </c>
      <c r="R141" s="7"/>
      <c r="S141" s="7"/>
      <c r="T141" s="7"/>
      <c r="U141" s="7"/>
      <c r="V141" s="7"/>
      <c r="W141" s="7"/>
      <c r="X141" s="7"/>
    </row>
    <row r="142" spans="1:24" s="1" customFormat="1" ht="15.75" customHeight="1">
      <c r="A142" s="7" t="s">
        <v>13</v>
      </c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</row>
    <row r="143" spans="1:24" s="1" customFormat="1" ht="13.5" customHeight="1">
      <c r="A143" s="57" t="s">
        <v>217</v>
      </c>
      <c r="B143" s="57"/>
      <c r="C143" s="57"/>
      <c r="D143" s="57"/>
      <c r="E143" s="57"/>
      <c r="F143" s="57"/>
      <c r="G143" s="57"/>
      <c r="H143" s="57"/>
      <c r="I143" s="57"/>
      <c r="J143" s="57"/>
      <c r="K143" s="7" t="s">
        <v>13</v>
      </c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</row>
    <row r="144" spans="1:24" s="1" customFormat="1" ht="13.5" customHeight="1">
      <c r="A144" s="4" t="s">
        <v>218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</row>
  </sheetData>
  <sheetProtection/>
  <mergeCells count="762">
    <mergeCell ref="A143:J143"/>
    <mergeCell ref="K143:X143"/>
    <mergeCell ref="A144:X144"/>
    <mergeCell ref="A141:B141"/>
    <mergeCell ref="D141:G141"/>
    <mergeCell ref="J141:L141"/>
    <mergeCell ref="O141:P141"/>
    <mergeCell ref="Q141:X141"/>
    <mergeCell ref="A142:X142"/>
    <mergeCell ref="A139:X139"/>
    <mergeCell ref="A140:B140"/>
    <mergeCell ref="C140:H140"/>
    <mergeCell ref="I140:M140"/>
    <mergeCell ref="N140:Q140"/>
    <mergeCell ref="R140:X140"/>
    <mergeCell ref="A136:X136"/>
    <mergeCell ref="A137:H137"/>
    <mergeCell ref="I137:M137"/>
    <mergeCell ref="N137:Q137"/>
    <mergeCell ref="R137:X137"/>
    <mergeCell ref="A138:H138"/>
    <mergeCell ref="J138:L138"/>
    <mergeCell ref="O138:P138"/>
    <mergeCell ref="Q138:X138"/>
    <mergeCell ref="A133:X133"/>
    <mergeCell ref="A134:H134"/>
    <mergeCell ref="I134:M134"/>
    <mergeCell ref="N134:Q134"/>
    <mergeCell ref="R134:X134"/>
    <mergeCell ref="A135:H135"/>
    <mergeCell ref="J135:L135"/>
    <mergeCell ref="O135:P135"/>
    <mergeCell ref="Q135:X135"/>
    <mergeCell ref="A132:K132"/>
    <mergeCell ref="L132:M132"/>
    <mergeCell ref="N132:O132"/>
    <mergeCell ref="P132:R132"/>
    <mergeCell ref="S132:V132"/>
    <mergeCell ref="W132:X132"/>
    <mergeCell ref="A131:K131"/>
    <mergeCell ref="L131:M131"/>
    <mergeCell ref="N131:O131"/>
    <mergeCell ref="P131:R131"/>
    <mergeCell ref="S131:V131"/>
    <mergeCell ref="W131:X131"/>
    <mergeCell ref="A130:K130"/>
    <mergeCell ref="L130:M130"/>
    <mergeCell ref="N130:O130"/>
    <mergeCell ref="P130:R130"/>
    <mergeCell ref="S130:V130"/>
    <mergeCell ref="W130:X130"/>
    <mergeCell ref="A129:K129"/>
    <mergeCell ref="L129:M129"/>
    <mergeCell ref="N129:O129"/>
    <mergeCell ref="P129:R129"/>
    <mergeCell ref="S129:V129"/>
    <mergeCell ref="W129:X129"/>
    <mergeCell ref="A127:X127"/>
    <mergeCell ref="A128:K128"/>
    <mergeCell ref="L128:M128"/>
    <mergeCell ref="N128:O128"/>
    <mergeCell ref="P128:R128"/>
    <mergeCell ref="S128:V128"/>
    <mergeCell ref="W128:X128"/>
    <mergeCell ref="A126:K126"/>
    <mergeCell ref="L126:M126"/>
    <mergeCell ref="N126:O126"/>
    <mergeCell ref="P126:R126"/>
    <mergeCell ref="S126:V126"/>
    <mergeCell ref="W126:X126"/>
    <mergeCell ref="A125:K125"/>
    <mergeCell ref="L125:M125"/>
    <mergeCell ref="N125:O125"/>
    <mergeCell ref="P125:R125"/>
    <mergeCell ref="S125:V125"/>
    <mergeCell ref="W125:X125"/>
    <mergeCell ref="A124:K124"/>
    <mergeCell ref="L124:M124"/>
    <mergeCell ref="N124:O124"/>
    <mergeCell ref="P124:R124"/>
    <mergeCell ref="S124:V124"/>
    <mergeCell ref="W124:X124"/>
    <mergeCell ref="A123:K123"/>
    <mergeCell ref="L123:M123"/>
    <mergeCell ref="N123:O123"/>
    <mergeCell ref="P123:R123"/>
    <mergeCell ref="S123:V123"/>
    <mergeCell ref="W123:X123"/>
    <mergeCell ref="A122:K122"/>
    <mergeCell ref="L122:M122"/>
    <mergeCell ref="N122:O122"/>
    <mergeCell ref="P122:R122"/>
    <mergeCell ref="S122:V122"/>
    <mergeCell ref="W122:X122"/>
    <mergeCell ref="A119:X119"/>
    <mergeCell ref="A120:X120"/>
    <mergeCell ref="A121:K121"/>
    <mergeCell ref="L121:M121"/>
    <mergeCell ref="N121:O121"/>
    <mergeCell ref="P121:R121"/>
    <mergeCell ref="S121:V121"/>
    <mergeCell ref="W121:X121"/>
    <mergeCell ref="A118:K118"/>
    <mergeCell ref="L118:M118"/>
    <mergeCell ref="N118:O118"/>
    <mergeCell ref="P118:R118"/>
    <mergeCell ref="S118:V118"/>
    <mergeCell ref="W118:X118"/>
    <mergeCell ref="A117:K117"/>
    <mergeCell ref="L117:M117"/>
    <mergeCell ref="N117:O117"/>
    <mergeCell ref="P117:R117"/>
    <mergeCell ref="S117:V117"/>
    <mergeCell ref="W117:X117"/>
    <mergeCell ref="A116:K116"/>
    <mergeCell ref="L116:M116"/>
    <mergeCell ref="N116:O116"/>
    <mergeCell ref="P116:R116"/>
    <mergeCell ref="S116:V116"/>
    <mergeCell ref="W116:X116"/>
    <mergeCell ref="A115:K115"/>
    <mergeCell ref="L115:M115"/>
    <mergeCell ref="N115:O115"/>
    <mergeCell ref="P115:R115"/>
    <mergeCell ref="S115:V115"/>
    <mergeCell ref="W115:X115"/>
    <mergeCell ref="A114:K114"/>
    <mergeCell ref="L114:M114"/>
    <mergeCell ref="N114:O114"/>
    <mergeCell ref="P114:R114"/>
    <mergeCell ref="S114:V114"/>
    <mergeCell ref="W114:X114"/>
    <mergeCell ref="A113:K113"/>
    <mergeCell ref="L113:M113"/>
    <mergeCell ref="N113:O113"/>
    <mergeCell ref="P113:R113"/>
    <mergeCell ref="S113:V113"/>
    <mergeCell ref="W113:X113"/>
    <mergeCell ref="A112:K112"/>
    <mergeCell ref="L112:M112"/>
    <mergeCell ref="N112:O112"/>
    <mergeCell ref="P112:R112"/>
    <mergeCell ref="S112:V112"/>
    <mergeCell ref="W112:X112"/>
    <mergeCell ref="A111:K111"/>
    <mergeCell ref="L111:M111"/>
    <mergeCell ref="N111:O111"/>
    <mergeCell ref="P111:R111"/>
    <mergeCell ref="S111:V111"/>
    <mergeCell ref="W111:X111"/>
    <mergeCell ref="A110:K110"/>
    <mergeCell ref="L110:M110"/>
    <mergeCell ref="N110:O110"/>
    <mergeCell ref="P110:R110"/>
    <mergeCell ref="S110:V110"/>
    <mergeCell ref="W110:X110"/>
    <mergeCell ref="A109:K109"/>
    <mergeCell ref="L109:M109"/>
    <mergeCell ref="N109:O109"/>
    <mergeCell ref="P109:R109"/>
    <mergeCell ref="S109:V109"/>
    <mergeCell ref="W109:X109"/>
    <mergeCell ref="A108:K108"/>
    <mergeCell ref="L108:M108"/>
    <mergeCell ref="N108:O108"/>
    <mergeCell ref="P108:R108"/>
    <mergeCell ref="S108:V108"/>
    <mergeCell ref="W108:X108"/>
    <mergeCell ref="A107:K107"/>
    <mergeCell ref="L107:M107"/>
    <mergeCell ref="N107:O107"/>
    <mergeCell ref="P107:R107"/>
    <mergeCell ref="S107:V107"/>
    <mergeCell ref="W107:X107"/>
    <mergeCell ref="A106:K106"/>
    <mergeCell ref="L106:M106"/>
    <mergeCell ref="N106:O106"/>
    <mergeCell ref="P106:R106"/>
    <mergeCell ref="S106:V106"/>
    <mergeCell ref="W106:X106"/>
    <mergeCell ref="A105:K105"/>
    <mergeCell ref="L105:M105"/>
    <mergeCell ref="N105:O105"/>
    <mergeCell ref="P105:R105"/>
    <mergeCell ref="S105:V105"/>
    <mergeCell ref="W105:X105"/>
    <mergeCell ref="A104:K104"/>
    <mergeCell ref="L104:M104"/>
    <mergeCell ref="N104:O104"/>
    <mergeCell ref="P104:R104"/>
    <mergeCell ref="S104:V104"/>
    <mergeCell ref="W104:X104"/>
    <mergeCell ref="A103:K103"/>
    <mergeCell ref="L103:M103"/>
    <mergeCell ref="N103:O103"/>
    <mergeCell ref="P103:R103"/>
    <mergeCell ref="S103:V103"/>
    <mergeCell ref="W103:X103"/>
    <mergeCell ref="A102:K102"/>
    <mergeCell ref="L102:M102"/>
    <mergeCell ref="N102:O102"/>
    <mergeCell ref="P102:R102"/>
    <mergeCell ref="S102:V102"/>
    <mergeCell ref="W102:X102"/>
    <mergeCell ref="A101:K101"/>
    <mergeCell ref="L101:M101"/>
    <mergeCell ref="N101:O101"/>
    <mergeCell ref="P101:R101"/>
    <mergeCell ref="S101:V101"/>
    <mergeCell ref="W101:X101"/>
    <mergeCell ref="A100:K100"/>
    <mergeCell ref="L100:M100"/>
    <mergeCell ref="N100:O100"/>
    <mergeCell ref="P100:R100"/>
    <mergeCell ref="S100:V100"/>
    <mergeCell ref="W100:X100"/>
    <mergeCell ref="A99:K99"/>
    <mergeCell ref="L99:M99"/>
    <mergeCell ref="N99:O99"/>
    <mergeCell ref="P99:R99"/>
    <mergeCell ref="S99:V99"/>
    <mergeCell ref="W99:X99"/>
    <mergeCell ref="A98:K98"/>
    <mergeCell ref="L98:M98"/>
    <mergeCell ref="N98:O98"/>
    <mergeCell ref="P98:R98"/>
    <mergeCell ref="S98:V98"/>
    <mergeCell ref="W98:X98"/>
    <mergeCell ref="A97:K97"/>
    <mergeCell ref="L97:M97"/>
    <mergeCell ref="N97:O97"/>
    <mergeCell ref="P97:R97"/>
    <mergeCell ref="S97:V97"/>
    <mergeCell ref="W97:X97"/>
    <mergeCell ref="A96:K96"/>
    <mergeCell ref="L96:M96"/>
    <mergeCell ref="N96:O96"/>
    <mergeCell ref="P96:R96"/>
    <mergeCell ref="S96:V96"/>
    <mergeCell ref="W96:X96"/>
    <mergeCell ref="A95:K95"/>
    <mergeCell ref="L95:M95"/>
    <mergeCell ref="N95:O95"/>
    <mergeCell ref="P95:R95"/>
    <mergeCell ref="S95:V95"/>
    <mergeCell ref="W95:X95"/>
    <mergeCell ref="A94:K94"/>
    <mergeCell ref="L94:M94"/>
    <mergeCell ref="N94:O94"/>
    <mergeCell ref="P94:R94"/>
    <mergeCell ref="S94:V94"/>
    <mergeCell ref="W94:X94"/>
    <mergeCell ref="A93:K93"/>
    <mergeCell ref="L93:M93"/>
    <mergeCell ref="N93:O93"/>
    <mergeCell ref="P93:R93"/>
    <mergeCell ref="S93:V93"/>
    <mergeCell ref="W93:X93"/>
    <mergeCell ref="A92:K92"/>
    <mergeCell ref="L92:M92"/>
    <mergeCell ref="N92:O92"/>
    <mergeCell ref="P92:R92"/>
    <mergeCell ref="S92:V92"/>
    <mergeCell ref="W92:X92"/>
    <mergeCell ref="A91:K91"/>
    <mergeCell ref="L91:M91"/>
    <mergeCell ref="N91:O91"/>
    <mergeCell ref="P91:R91"/>
    <mergeCell ref="S91:V91"/>
    <mergeCell ref="W91:X91"/>
    <mergeCell ref="A90:K90"/>
    <mergeCell ref="L90:M90"/>
    <mergeCell ref="N90:O90"/>
    <mergeCell ref="P90:R90"/>
    <mergeCell ref="S90:V90"/>
    <mergeCell ref="W90:X90"/>
    <mergeCell ref="A89:K89"/>
    <mergeCell ref="L89:M89"/>
    <mergeCell ref="N89:O89"/>
    <mergeCell ref="P89:R89"/>
    <mergeCell ref="S89:V89"/>
    <mergeCell ref="W89:X89"/>
    <mergeCell ref="A88:K88"/>
    <mergeCell ref="L88:M88"/>
    <mergeCell ref="N88:O88"/>
    <mergeCell ref="P88:R88"/>
    <mergeCell ref="S88:V88"/>
    <mergeCell ref="W88:X88"/>
    <mergeCell ref="A87:K87"/>
    <mergeCell ref="L87:M87"/>
    <mergeCell ref="N87:O87"/>
    <mergeCell ref="P87:R87"/>
    <mergeCell ref="S87:V87"/>
    <mergeCell ref="W87:X87"/>
    <mergeCell ref="A86:K86"/>
    <mergeCell ref="L86:M86"/>
    <mergeCell ref="N86:O86"/>
    <mergeCell ref="P86:R86"/>
    <mergeCell ref="S86:V86"/>
    <mergeCell ref="W86:X86"/>
    <mergeCell ref="A85:K85"/>
    <mergeCell ref="L85:M85"/>
    <mergeCell ref="N85:O85"/>
    <mergeCell ref="P85:R85"/>
    <mergeCell ref="S85:V85"/>
    <mergeCell ref="W85:X85"/>
    <mergeCell ref="A84:K84"/>
    <mergeCell ref="L84:M84"/>
    <mergeCell ref="N84:O84"/>
    <mergeCell ref="P84:R84"/>
    <mergeCell ref="S84:V84"/>
    <mergeCell ref="W84:X84"/>
    <mergeCell ref="A83:K83"/>
    <mergeCell ref="L83:M83"/>
    <mergeCell ref="N83:O83"/>
    <mergeCell ref="P83:R83"/>
    <mergeCell ref="S83:V83"/>
    <mergeCell ref="W83:X83"/>
    <mergeCell ref="A82:K82"/>
    <mergeCell ref="L82:M82"/>
    <mergeCell ref="N82:O82"/>
    <mergeCell ref="P82:R82"/>
    <mergeCell ref="S82:V82"/>
    <mergeCell ref="W82:X82"/>
    <mergeCell ref="A81:K81"/>
    <mergeCell ref="L81:M81"/>
    <mergeCell ref="N81:O81"/>
    <mergeCell ref="P81:R81"/>
    <mergeCell ref="S81:V81"/>
    <mergeCell ref="W81:X81"/>
    <mergeCell ref="A80:K80"/>
    <mergeCell ref="L80:M80"/>
    <mergeCell ref="N80:O80"/>
    <mergeCell ref="P80:R80"/>
    <mergeCell ref="S80:V80"/>
    <mergeCell ref="W80:X80"/>
    <mergeCell ref="A79:K79"/>
    <mergeCell ref="L79:M79"/>
    <mergeCell ref="N79:O79"/>
    <mergeCell ref="P79:R79"/>
    <mergeCell ref="S79:V79"/>
    <mergeCell ref="W79:X79"/>
    <mergeCell ref="A78:K78"/>
    <mergeCell ref="L78:M78"/>
    <mergeCell ref="N78:O78"/>
    <mergeCell ref="P78:R78"/>
    <mergeCell ref="S78:V78"/>
    <mergeCell ref="W78:X78"/>
    <mergeCell ref="A77:K77"/>
    <mergeCell ref="L77:M77"/>
    <mergeCell ref="N77:O77"/>
    <mergeCell ref="P77:R77"/>
    <mergeCell ref="S77:V77"/>
    <mergeCell ref="W77:X77"/>
    <mergeCell ref="A76:K76"/>
    <mergeCell ref="L76:M76"/>
    <mergeCell ref="N76:O76"/>
    <mergeCell ref="P76:R76"/>
    <mergeCell ref="S76:V76"/>
    <mergeCell ref="W76:X76"/>
    <mergeCell ref="A75:K75"/>
    <mergeCell ref="L75:M75"/>
    <mergeCell ref="N75:O75"/>
    <mergeCell ref="P75:R75"/>
    <mergeCell ref="S75:V75"/>
    <mergeCell ref="W75:X75"/>
    <mergeCell ref="A74:K74"/>
    <mergeCell ref="L74:M74"/>
    <mergeCell ref="N74:O74"/>
    <mergeCell ref="P74:R74"/>
    <mergeCell ref="S74:V74"/>
    <mergeCell ref="W74:X74"/>
    <mergeCell ref="A73:K73"/>
    <mergeCell ref="L73:M73"/>
    <mergeCell ref="N73:O73"/>
    <mergeCell ref="P73:R73"/>
    <mergeCell ref="S73:V73"/>
    <mergeCell ref="W73:X73"/>
    <mergeCell ref="A72:K72"/>
    <mergeCell ref="L72:M72"/>
    <mergeCell ref="N72:O72"/>
    <mergeCell ref="P72:R72"/>
    <mergeCell ref="S72:V72"/>
    <mergeCell ref="W72:X72"/>
    <mergeCell ref="A71:K71"/>
    <mergeCell ref="L71:M71"/>
    <mergeCell ref="N71:O71"/>
    <mergeCell ref="P71:R71"/>
    <mergeCell ref="S71:V71"/>
    <mergeCell ref="W71:X71"/>
    <mergeCell ref="A70:K70"/>
    <mergeCell ref="L70:M70"/>
    <mergeCell ref="N70:O70"/>
    <mergeCell ref="P70:R70"/>
    <mergeCell ref="S70:V70"/>
    <mergeCell ref="W70:X70"/>
    <mergeCell ref="A69:K69"/>
    <mergeCell ref="L69:M69"/>
    <mergeCell ref="N69:O69"/>
    <mergeCell ref="P69:R69"/>
    <mergeCell ref="S69:V69"/>
    <mergeCell ref="W69:X69"/>
    <mergeCell ref="A68:K68"/>
    <mergeCell ref="L68:M68"/>
    <mergeCell ref="N68:O68"/>
    <mergeCell ref="P68:R68"/>
    <mergeCell ref="S68:V68"/>
    <mergeCell ref="W68:X68"/>
    <mergeCell ref="A67:K67"/>
    <mergeCell ref="L67:M67"/>
    <mergeCell ref="N67:O67"/>
    <mergeCell ref="P67:R67"/>
    <mergeCell ref="S67:V67"/>
    <mergeCell ref="W67:X67"/>
    <mergeCell ref="A66:K66"/>
    <mergeCell ref="L66:M66"/>
    <mergeCell ref="N66:O66"/>
    <mergeCell ref="P66:R66"/>
    <mergeCell ref="S66:V66"/>
    <mergeCell ref="W66:X66"/>
    <mergeCell ref="A65:K65"/>
    <mergeCell ref="L65:M65"/>
    <mergeCell ref="N65:O65"/>
    <mergeCell ref="P65:R65"/>
    <mergeCell ref="S65:V65"/>
    <mergeCell ref="W65:X65"/>
    <mergeCell ref="A64:K64"/>
    <mergeCell ref="L64:M64"/>
    <mergeCell ref="N64:O64"/>
    <mergeCell ref="P64:R64"/>
    <mergeCell ref="S64:V64"/>
    <mergeCell ref="W64:X64"/>
    <mergeCell ref="A63:K63"/>
    <mergeCell ref="L63:M63"/>
    <mergeCell ref="N63:O63"/>
    <mergeCell ref="P63:R63"/>
    <mergeCell ref="S63:V63"/>
    <mergeCell ref="W63:X63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61:V61"/>
    <mergeCell ref="W61:X61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7:V57"/>
    <mergeCell ref="W57:X57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5:V55"/>
    <mergeCell ref="W55:X55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50:V50"/>
    <mergeCell ref="W50:X50"/>
    <mergeCell ref="A49:K49"/>
    <mergeCell ref="L49:M49"/>
    <mergeCell ref="N49:O49"/>
    <mergeCell ref="P49:R49"/>
    <mergeCell ref="S49:V49"/>
    <mergeCell ref="W49:X49"/>
    <mergeCell ref="A48:K48"/>
    <mergeCell ref="L48:M48"/>
    <mergeCell ref="N48:O48"/>
    <mergeCell ref="P48:R48"/>
    <mergeCell ref="S48:V48"/>
    <mergeCell ref="W48:X48"/>
    <mergeCell ref="A47:K47"/>
    <mergeCell ref="L47:M47"/>
    <mergeCell ref="N47:O47"/>
    <mergeCell ref="P47:R47"/>
    <mergeCell ref="S47:V47"/>
    <mergeCell ref="W47:X47"/>
    <mergeCell ref="A46:K46"/>
    <mergeCell ref="L46:M46"/>
    <mergeCell ref="N46:O46"/>
    <mergeCell ref="P46:R46"/>
    <mergeCell ref="S46:V46"/>
    <mergeCell ref="W46:X46"/>
    <mergeCell ref="A45:K45"/>
    <mergeCell ref="L45:M45"/>
    <mergeCell ref="N45:O45"/>
    <mergeCell ref="P45:R45"/>
    <mergeCell ref="S45:V45"/>
    <mergeCell ref="W45:X45"/>
    <mergeCell ref="A44:K44"/>
    <mergeCell ref="L44:M44"/>
    <mergeCell ref="N44:O44"/>
    <mergeCell ref="P44:R44"/>
    <mergeCell ref="S44:V44"/>
    <mergeCell ref="W44:X44"/>
    <mergeCell ref="A43:K43"/>
    <mergeCell ref="L43:M43"/>
    <mergeCell ref="N43:O43"/>
    <mergeCell ref="P43:R43"/>
    <mergeCell ref="S43:V43"/>
    <mergeCell ref="W43:X43"/>
    <mergeCell ref="A42:K42"/>
    <mergeCell ref="L42:M42"/>
    <mergeCell ref="N42:O42"/>
    <mergeCell ref="P42:R42"/>
    <mergeCell ref="S42:V42"/>
    <mergeCell ref="W42:X42"/>
    <mergeCell ref="A39:X39"/>
    <mergeCell ref="A40:X40"/>
    <mergeCell ref="A41:K41"/>
    <mergeCell ref="L41:M41"/>
    <mergeCell ref="N41:O41"/>
    <mergeCell ref="P41:R41"/>
    <mergeCell ref="S41:V41"/>
    <mergeCell ref="W41:X41"/>
    <mergeCell ref="A38:K38"/>
    <mergeCell ref="L38:M38"/>
    <mergeCell ref="N38:O38"/>
    <mergeCell ref="P38:R38"/>
    <mergeCell ref="S38:V38"/>
    <mergeCell ref="W38:X38"/>
    <mergeCell ref="A37:K37"/>
    <mergeCell ref="L37:M37"/>
    <mergeCell ref="N37:O37"/>
    <mergeCell ref="P37:R37"/>
    <mergeCell ref="S37:V37"/>
    <mergeCell ref="W37:X37"/>
    <mergeCell ref="A36:K36"/>
    <mergeCell ref="L36:M36"/>
    <mergeCell ref="N36:O36"/>
    <mergeCell ref="P36:R36"/>
    <mergeCell ref="S36:V36"/>
    <mergeCell ref="W36:X36"/>
    <mergeCell ref="A35:K35"/>
    <mergeCell ref="L35:M35"/>
    <mergeCell ref="N35:O35"/>
    <mergeCell ref="P35:R35"/>
    <mergeCell ref="S35:V35"/>
    <mergeCell ref="W35:X35"/>
    <mergeCell ref="A34:K34"/>
    <mergeCell ref="L34:M34"/>
    <mergeCell ref="N34:O34"/>
    <mergeCell ref="P34:R34"/>
    <mergeCell ref="S34:V34"/>
    <mergeCell ref="W34:X34"/>
    <mergeCell ref="A33:K33"/>
    <mergeCell ref="L33:M33"/>
    <mergeCell ref="N33:O33"/>
    <mergeCell ref="P33:R33"/>
    <mergeCell ref="S33:V33"/>
    <mergeCell ref="W33:X33"/>
    <mergeCell ref="A32:K32"/>
    <mergeCell ref="L32:M32"/>
    <mergeCell ref="N32:O32"/>
    <mergeCell ref="P32:R32"/>
    <mergeCell ref="S32:V32"/>
    <mergeCell ref="W32:X32"/>
    <mergeCell ref="A31:K31"/>
    <mergeCell ref="L31:M31"/>
    <mergeCell ref="N31:O31"/>
    <mergeCell ref="P31:R31"/>
    <mergeCell ref="S31:V31"/>
    <mergeCell ref="W31:X31"/>
    <mergeCell ref="A30:K30"/>
    <mergeCell ref="L30:M30"/>
    <mergeCell ref="N30:O30"/>
    <mergeCell ref="P30:R30"/>
    <mergeCell ref="S30:V30"/>
    <mergeCell ref="W30:X30"/>
    <mergeCell ref="A29:K29"/>
    <mergeCell ref="L29:M29"/>
    <mergeCell ref="N29:O29"/>
    <mergeCell ref="P29:R29"/>
    <mergeCell ref="S29:V29"/>
    <mergeCell ref="W29:X29"/>
    <mergeCell ref="A28:K28"/>
    <mergeCell ref="L28:M28"/>
    <mergeCell ref="N28:O28"/>
    <mergeCell ref="P28:R28"/>
    <mergeCell ref="S28:V28"/>
    <mergeCell ref="W28:X28"/>
    <mergeCell ref="A27:K27"/>
    <mergeCell ref="L27:M27"/>
    <mergeCell ref="N27:O27"/>
    <mergeCell ref="P27:R27"/>
    <mergeCell ref="S27:V27"/>
    <mergeCell ref="W27:X27"/>
    <mergeCell ref="A26:K26"/>
    <mergeCell ref="L26:M26"/>
    <mergeCell ref="N26:O26"/>
    <mergeCell ref="P26:R26"/>
    <mergeCell ref="S26:V26"/>
    <mergeCell ref="W26:X26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4:V24"/>
    <mergeCell ref="W24:X24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9" max="255" man="1"/>
    <brk id="119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Finance</cp:lastModifiedBy>
  <dcterms:created xsi:type="dcterms:W3CDTF">2017-06-13T07:43:56Z</dcterms:created>
  <dcterms:modified xsi:type="dcterms:W3CDTF">2017-06-13T07:43:56Z</dcterms:modified>
  <cp:category/>
  <cp:version/>
  <cp:contentType/>
  <cp:contentStatus/>
</cp:coreProperties>
</file>