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<sst xmlns="http://schemas.openxmlformats.org/spreadsheetml/2006/main" count="514" uniqueCount="227">
  <si>
    <t>ОТЧЕТ ОБ ИСПОЛНЕНИИ БЮДЖЕТА</t>
  </si>
  <si>
    <t>КОДЫ</t>
  </si>
  <si>
    <t xml:space="preserve">Форма по ОКУД </t>
  </si>
  <si>
    <t>0503117</t>
  </si>
  <si>
    <t>на 1 октября 2021 г.</t>
  </si>
  <si>
    <t xml:space="preserve">Дата </t>
  </si>
  <si>
    <t>Наименование финансового органа</t>
  </si>
  <si>
    <t>Администрация Пластуновского сельского поселения Динского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</si>
  <si>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</si>
  <si>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</si>
  <si>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</si>
  <si>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</si>
  <si>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Пластуновского сельского поселения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</si>
  <si>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</si>
  <si>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</si>
  <si>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</si>
  <si>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</si>
  <si>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</si>
  <si>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</si>
  <si>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</si>
  <si>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</si>
  <si>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</si>
  <si>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</si>
  <si>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</si>
  <si>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</si>
  <si>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</si>
  <si>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</si>
  <si>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</si>
  <si>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</si>
  <si>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</si>
  <si>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</si>
  <si>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</si>
  <si>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</si>
  <si>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</si>
  <si>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</si>
  <si>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</si>
  <si>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</si>
  <si>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</si>
  <si>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</si>
  <si>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</si>
  <si>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</si>
  <si>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</si>
  <si>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</si>
  <si>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</si>
  <si>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</si>
  <si>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</si>
  <si>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</si>
  <si>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</si>
  <si>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</si>
  <si>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</si>
  <si>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</si>
  <si>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</si>
  <si>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</si>
  <si>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</si>
  <si>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</si>
  <si>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</si>
  <si>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</si>
  <si>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</si>
  <si>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</si>
  <si>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</si>
  <si>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</si>
  <si>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</si>
  <si>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</si>
  <si>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</si>
  <si>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</si>
  <si>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</si>
  <si>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</si>
  <si>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</si>
  <si>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</si>
  <si>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</si>
  <si>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</si>
  <si>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</si>
  <si>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</si>
  <si>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</si>
  <si>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</si>
  <si>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</si>
  <si>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</si>
  <si>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</si>
  <si>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</si>
  <si>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</si>
  <si>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</si>
  <si>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</si>
  <si>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</si>
  <si>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</si>
  <si>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</si>
  <si>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</si>
  <si>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</si>
  <si>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</si>
  <si>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</si>
  <si>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</si>
  <si>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</si>
  <si>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</si>
  <si>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</si>
  <si>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</si>
  <si>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</si>
  <si>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</si>
  <si>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</si>
  <si>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Возврат остатков субсидий на реализацию программ формирования современной городской среды из бюджетов сельских поселений</t>
  </si>
  <si>
    <t>992 21925555 10 0000 150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</si>
  <si>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</si>
  <si>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</si>
  <si>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</si>
  <si>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</si>
  <si>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</si>
  <si>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</si>
  <si>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</si>
  <si>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</si>
  <si>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</si>
  <si>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</si>
  <si>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</si>
  <si>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</si>
  <si>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</si>
  <si>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</si>
  <si>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</si>
  <si>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</si>
  <si>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</si>
  <si>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</si>
  <si>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</si>
  <si>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</si>
  <si>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</si>
  <si>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</si>
  <si>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</si>
  <si>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</si>
  <si>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</si>
  <si>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</si>
  <si>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Исполнение судебных актов Российской Федерации и мировых соглашений по возмещению причиненного вреда</t>
  </si>
  <si>
    <t>992 0113 5170029010 831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</si>
  <si>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</si>
  <si>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</si>
  <si>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</si>
  <si>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</si>
  <si>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</si>
  <si>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</si>
  <si>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</si>
  <si>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</si>
  <si>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</si>
  <si>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</si>
  <si>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</si>
  <si>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</si>
  <si>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</si>
  <si>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</si>
  <si>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</si>
  <si>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</si>
  <si>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</si>
  <si>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</si>
  <si>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</si>
  <si>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</si>
  <si>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</si>
  <si>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243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</si>
  <si>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</si>
  <si>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</si>
  <si>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</si>
  <si>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</si>
  <si>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</si>
  <si>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</si>
  <si>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</si>
  <si>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</si>
  <si>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</si>
  <si>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</si>
  <si>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</si>
  <si>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</si>
  <si>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</si>
  <si>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</si>
  <si>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</si>
  <si>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</si>
  <si>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</si>
  <si>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</si>
  <si>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</si>
  <si>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</si>
  <si>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992 0503 2501300000 244</t>
  </si>
  <si>
    <t>992 0503 250F255550 243</t>
  </si>
  <si>
    <t>992 0503 7010000000 244</t>
  </si>
  <si>
    <t>992 0503 7020000000 244</t>
  </si>
  <si>
    <t>992 0503 7040000000 243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</si>
  <si>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</si>
  <si>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</si>
  <si>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</si>
  <si>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</si>
  <si>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</si>
  <si>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</si>
  <si>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</si>
  <si>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</si>
  <si>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</si>
  <si>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</si>
  <si>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</si>
  <si>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</si>
  <si>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</si>
  <si>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992 1102 1300400000 414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</si>
  <si>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</si>
  <si>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</si>
  <si>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</si>
  <si>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</si>
  <si>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</si>
  <si>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</si>
  <si>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</si>
  <si>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</si>
  <si>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</si>
  <si>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</si>
  <si>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</si>
  <si>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</si>
  <si>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кредитов от кредитных организаций бюджетами сельских поселений в валюте Российской Федерации</t>
  </si>
  <si>
    <t>992 01020000 10 0000 710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</si>
  <si>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</si>
  <si>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</si>
  <si>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</si>
  <si>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</si>
  <si>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</si>
  <si>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</si>
  <si>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</si>
  <si>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</si>
  <si>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</si>
  <si>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</si>
  <si>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</si>
  <si>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</si>
  <si>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</si>
  <si>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</si>
  <si>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</si>
  <si>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</si>
  <si>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</si>
  <si>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</si>
  <si>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</si>
  <si>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</si>
  <si>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</si>
  <si>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</si>
  <si>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</si>
  <si>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26 апреля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</si>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</sst>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44470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3.5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93547600</f>
        <v>93547600</v>
      </c>
      <c r="Q12" s="21"/>
      <c r="R12" s="21"/>
      <c r="S12" s="21">
        <f>38820272.35</f>
        <v>38820272.35</v>
      </c>
      <c r="T12" s="21"/>
      <c r="U12" s="21"/>
      <c r="V12" s="21"/>
      <c r="W12" s="22">
        <f>54727327.65</f>
        <v>54727327.65</v>
      </c>
      <c r="X12" s="22"/>
    </row>
    <row r="13" spans="1:24" s="1" customFormat="1" ht="66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2434700</f>
        <v>2434700</v>
      </c>
      <c r="Q13" s="25"/>
      <c r="R13" s="25"/>
      <c r="S13" s="25">
        <f>1909590.13</f>
        <v>1909590.13</v>
      </c>
      <c r="T13" s="25"/>
      <c r="U13" s="25"/>
      <c r="V13" s="25"/>
      <c r="W13" s="26">
        <f>525109.87</f>
        <v>525109.87</v>
      </c>
      <c r="X13" s="26"/>
    </row>
    <row r="14" spans="1:24" s="1" customFormat="1" ht="75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5">
        <f>25000</f>
        <v>25000</v>
      </c>
      <c r="Q14" s="25"/>
      <c r="R14" s="25"/>
      <c r="S14" s="25">
        <f>13649.13</f>
        <v>13649.13</v>
      </c>
      <c r="T14" s="25"/>
      <c r="U14" s="25"/>
      <c r="V14" s="25"/>
      <c r="W14" s="26">
        <f>11350.87</f>
        <v>11350.87</v>
      </c>
      <c r="X14" s="26"/>
    </row>
    <row r="15" spans="1:24" s="1" customFormat="1" ht="66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41</v>
      </c>
      <c r="O15" s="24"/>
      <c r="P15" s="25">
        <f>3100000</f>
        <v>3100000</v>
      </c>
      <c r="Q15" s="25"/>
      <c r="R15" s="25"/>
      <c r="S15" s="25">
        <f>2623987.38</f>
        <v>2623987.38</v>
      </c>
      <c r="T15" s="25"/>
      <c r="U15" s="25"/>
      <c r="V15" s="25"/>
      <c r="W15" s="26">
        <f>476012.62</f>
        <v>476012.62</v>
      </c>
      <c r="X15" s="26"/>
    </row>
    <row r="16" spans="1:24" s="1" customFormat="1" ht="66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43</v>
      </c>
      <c r="O16" s="24"/>
      <c r="P16" s="27" t="s">
        <v>44</v>
      </c>
      <c r="Q16" s="27"/>
      <c r="R16" s="27"/>
      <c r="S16" s="25">
        <f>-337110.03</f>
        <v>-337110.03</v>
      </c>
      <c r="T16" s="25"/>
      <c r="U16" s="25"/>
      <c r="V16" s="25"/>
      <c r="W16" s="28" t="s">
        <v>44</v>
      </c>
      <c r="X16" s="28"/>
    </row>
    <row r="17" spans="1:24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46</v>
      </c>
      <c r="O17" s="24"/>
      <c r="P17" s="25">
        <f>17330000</f>
        <v>17330000</v>
      </c>
      <c r="Q17" s="25"/>
      <c r="R17" s="25"/>
      <c r="S17" s="25">
        <f>14705173.5</f>
        <v>14705173.5</v>
      </c>
      <c r="T17" s="25"/>
      <c r="U17" s="25"/>
      <c r="V17" s="25"/>
      <c r="W17" s="26">
        <f>2624826.5</f>
        <v>2624826.5</v>
      </c>
      <c r="X17" s="26"/>
    </row>
    <row r="18" spans="1:24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48</v>
      </c>
      <c r="O18" s="24"/>
      <c r="P18" s="25">
        <f>100000</f>
        <v>100000</v>
      </c>
      <c r="Q18" s="25"/>
      <c r="R18" s="25"/>
      <c r="S18" s="25">
        <f>275809.02</f>
        <v>275809.02</v>
      </c>
      <c r="T18" s="25"/>
      <c r="U18" s="25"/>
      <c r="V18" s="25"/>
      <c r="W18" s="28" t="s">
        <v>44</v>
      </c>
      <c r="X18" s="28"/>
    </row>
    <row r="19" spans="1:24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50</v>
      </c>
      <c r="O19" s="24"/>
      <c r="P19" s="25">
        <f>400000</f>
        <v>400000</v>
      </c>
      <c r="Q19" s="25"/>
      <c r="R19" s="25"/>
      <c r="S19" s="25">
        <f>215147.54</f>
        <v>215147.54</v>
      </c>
      <c r="T19" s="25"/>
      <c r="U19" s="25"/>
      <c r="V19" s="25"/>
      <c r="W19" s="26">
        <f>184852.46</f>
        <v>184852.46</v>
      </c>
      <c r="X19" s="26"/>
    </row>
    <row r="20" spans="1:24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52</v>
      </c>
      <c r="O20" s="24"/>
      <c r="P20" s="25">
        <f>100000</f>
        <v>100000</v>
      </c>
      <c r="Q20" s="25"/>
      <c r="R20" s="25"/>
      <c r="S20" s="25">
        <f>70428.1</f>
        <v>70428.1</v>
      </c>
      <c r="T20" s="25"/>
      <c r="U20" s="25"/>
      <c r="V20" s="25"/>
      <c r="W20" s="26">
        <f>29571.9</f>
        <v>29571.9</v>
      </c>
      <c r="X20" s="26"/>
    </row>
    <row r="21" spans="1:24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54</v>
      </c>
      <c r="O21" s="24"/>
      <c r="P21" s="25">
        <f>1240000</f>
        <v>1240000</v>
      </c>
      <c r="Q21" s="25"/>
      <c r="R21" s="25"/>
      <c r="S21" s="25">
        <f>1609915.72</f>
        <v>1609915.72</v>
      </c>
      <c r="T21" s="25"/>
      <c r="U21" s="25"/>
      <c r="V21" s="25"/>
      <c r="W21" s="28" t="s">
        <v>44</v>
      </c>
      <c r="X21" s="28"/>
    </row>
    <row r="22" spans="1:24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56</v>
      </c>
      <c r="O22" s="24"/>
      <c r="P22" s="25">
        <f>5800000</f>
        <v>5800000</v>
      </c>
      <c r="Q22" s="25"/>
      <c r="R22" s="25"/>
      <c r="S22" s="25">
        <f>978108.93</f>
        <v>978108.93</v>
      </c>
      <c r="T22" s="25"/>
      <c r="U22" s="25"/>
      <c r="V22" s="25"/>
      <c r="W22" s="26">
        <f>4821891.07</f>
        <v>4821891.07</v>
      </c>
      <c r="X22" s="26"/>
    </row>
    <row r="23" spans="1:24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58</v>
      </c>
      <c r="O23" s="24"/>
      <c r="P23" s="25">
        <f>1600000</f>
        <v>1600000</v>
      </c>
      <c r="Q23" s="25"/>
      <c r="R23" s="25"/>
      <c r="S23" s="25">
        <f>1472831</f>
        <v>1472831</v>
      </c>
      <c r="T23" s="25"/>
      <c r="U23" s="25"/>
      <c r="V23" s="25"/>
      <c r="W23" s="26">
        <f>127169</f>
        <v>127169</v>
      </c>
      <c r="X23" s="26"/>
    </row>
    <row r="24" spans="1:24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60</v>
      </c>
      <c r="O24" s="24"/>
      <c r="P24" s="25">
        <f>7900000</f>
        <v>7900000</v>
      </c>
      <c r="Q24" s="25"/>
      <c r="R24" s="25"/>
      <c r="S24" s="25">
        <f>665722.09</f>
        <v>665722.09</v>
      </c>
      <c r="T24" s="25"/>
      <c r="U24" s="25"/>
      <c r="V24" s="25"/>
      <c r="W24" s="26">
        <f>7234277.91</f>
        <v>7234277.91</v>
      </c>
      <c r="X24" s="26"/>
    </row>
    <row r="25" spans="1:24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62</v>
      </c>
      <c r="O25" s="24"/>
      <c r="P25" s="27" t="s">
        <v>44</v>
      </c>
      <c r="Q25" s="27"/>
      <c r="R25" s="27"/>
      <c r="S25" s="25">
        <f>-4939.24</f>
        <v>-4939.24</v>
      </c>
      <c r="T25" s="25"/>
      <c r="U25" s="25"/>
      <c r="V25" s="25"/>
      <c r="W25" s="28" t="s">
        <v>44</v>
      </c>
      <c r="X25" s="28"/>
    </row>
    <row r="26" spans="1:24" s="1" customFormat="1" ht="33.7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64</v>
      </c>
      <c r="O26" s="24"/>
      <c r="P26" s="27" t="s">
        <v>44</v>
      </c>
      <c r="Q26" s="27"/>
      <c r="R26" s="27"/>
      <c r="S26" s="25">
        <f>170951.2</f>
        <v>170951.2</v>
      </c>
      <c r="T26" s="25"/>
      <c r="U26" s="25"/>
      <c r="V26" s="25"/>
      <c r="W26" s="28" t="s">
        <v>44</v>
      </c>
      <c r="X26" s="28"/>
    </row>
    <row r="27" spans="1:24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66</v>
      </c>
      <c r="O27" s="24"/>
      <c r="P27" s="25">
        <f>471600</f>
        <v>471600</v>
      </c>
      <c r="Q27" s="25"/>
      <c r="R27" s="25"/>
      <c r="S27" s="25">
        <f>176444.31</f>
        <v>176444.31</v>
      </c>
      <c r="T27" s="25"/>
      <c r="U27" s="25"/>
      <c r="V27" s="25"/>
      <c r="W27" s="26">
        <f>295155.69</f>
        <v>295155.69</v>
      </c>
      <c r="X27" s="26"/>
    </row>
    <row r="28" spans="1:24" s="1" customFormat="1" ht="4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68</v>
      </c>
      <c r="O28" s="24"/>
      <c r="P28" s="27" t="s">
        <v>44</v>
      </c>
      <c r="Q28" s="27"/>
      <c r="R28" s="27"/>
      <c r="S28" s="25">
        <f>4500</f>
        <v>4500</v>
      </c>
      <c r="T28" s="25"/>
      <c r="U28" s="25"/>
      <c r="V28" s="25"/>
      <c r="W28" s="28" t="s">
        <v>44</v>
      </c>
      <c r="X28" s="28"/>
    </row>
    <row r="29" spans="1:24" s="1" customFormat="1" ht="13.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70</v>
      </c>
      <c r="O29" s="24"/>
      <c r="P29" s="27" t="s">
        <v>44</v>
      </c>
      <c r="Q29" s="27"/>
      <c r="R29" s="27"/>
      <c r="S29" s="25">
        <f>245014.59</f>
        <v>245014.59</v>
      </c>
      <c r="T29" s="25"/>
      <c r="U29" s="25"/>
      <c r="V29" s="25"/>
      <c r="W29" s="28" t="s">
        <v>44</v>
      </c>
      <c r="X29" s="28"/>
    </row>
    <row r="30" spans="1:24" s="1" customFormat="1" ht="54.75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72</v>
      </c>
      <c r="O30" s="24"/>
      <c r="P30" s="27" t="s">
        <v>44</v>
      </c>
      <c r="Q30" s="27"/>
      <c r="R30" s="27"/>
      <c r="S30" s="25">
        <f>47500</f>
        <v>47500</v>
      </c>
      <c r="T30" s="25"/>
      <c r="U30" s="25"/>
      <c r="V30" s="25"/>
      <c r="W30" s="28" t="s">
        <v>44</v>
      </c>
      <c r="X30" s="28"/>
    </row>
    <row r="31" spans="1:24" s="1" customFormat="1" ht="33.7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74</v>
      </c>
      <c r="O31" s="24"/>
      <c r="P31" s="27" t="s">
        <v>44</v>
      </c>
      <c r="Q31" s="27"/>
      <c r="R31" s="27"/>
      <c r="S31" s="25">
        <f>1000</f>
        <v>1000</v>
      </c>
      <c r="T31" s="25"/>
      <c r="U31" s="25"/>
      <c r="V31" s="25"/>
      <c r="W31" s="28" t="s">
        <v>44</v>
      </c>
      <c r="X31" s="28"/>
    </row>
    <row r="32" spans="1:24" s="1" customFormat="1" ht="33.75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76</v>
      </c>
      <c r="O32" s="24"/>
      <c r="P32" s="27" t="s">
        <v>44</v>
      </c>
      <c r="Q32" s="27"/>
      <c r="R32" s="27"/>
      <c r="S32" s="25">
        <f>2000</f>
        <v>2000</v>
      </c>
      <c r="T32" s="25"/>
      <c r="U32" s="25"/>
      <c r="V32" s="25"/>
      <c r="W32" s="28" t="s">
        <v>44</v>
      </c>
      <c r="X32" s="28"/>
    </row>
    <row r="33" spans="1:24" s="1" customFormat="1" ht="4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78</v>
      </c>
      <c r="O33" s="24"/>
      <c r="P33" s="27" t="s">
        <v>44</v>
      </c>
      <c r="Q33" s="27"/>
      <c r="R33" s="27"/>
      <c r="S33" s="25">
        <f>16233.34</f>
        <v>16233.34</v>
      </c>
      <c r="T33" s="25"/>
      <c r="U33" s="25"/>
      <c r="V33" s="25"/>
      <c r="W33" s="28" t="s">
        <v>44</v>
      </c>
      <c r="X33" s="28"/>
    </row>
    <row r="34" spans="1:24" s="1" customFormat="1" ht="13.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80</v>
      </c>
      <c r="O34" s="24"/>
      <c r="P34" s="27" t="s">
        <v>44</v>
      </c>
      <c r="Q34" s="27"/>
      <c r="R34" s="27"/>
      <c r="S34" s="25">
        <f>0</f>
        <v>0</v>
      </c>
      <c r="T34" s="25"/>
      <c r="U34" s="25"/>
      <c r="V34" s="25"/>
      <c r="W34" s="28" t="s">
        <v>44</v>
      </c>
      <c r="X34" s="28"/>
    </row>
    <row r="35" spans="1:24" s="1" customFormat="1" ht="13.5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82</v>
      </c>
      <c r="O35" s="24"/>
      <c r="P35" s="27" t="s">
        <v>44</v>
      </c>
      <c r="Q35" s="27"/>
      <c r="R35" s="27"/>
      <c r="S35" s="25">
        <f>260000</f>
        <v>260000</v>
      </c>
      <c r="T35" s="25"/>
      <c r="U35" s="25"/>
      <c r="V35" s="25"/>
      <c r="W35" s="28" t="s">
        <v>44</v>
      </c>
      <c r="X35" s="28"/>
    </row>
    <row r="36" spans="1:24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84</v>
      </c>
      <c r="O36" s="24"/>
      <c r="P36" s="25">
        <f>8083300</f>
        <v>8083300</v>
      </c>
      <c r="Q36" s="25"/>
      <c r="R36" s="25"/>
      <c r="S36" s="25">
        <f>6064000</f>
        <v>6064000</v>
      </c>
      <c r="T36" s="25"/>
      <c r="U36" s="25"/>
      <c r="V36" s="25"/>
      <c r="W36" s="26">
        <f>2019300</f>
        <v>2019300</v>
      </c>
      <c r="X36" s="26"/>
    </row>
    <row r="37" spans="1:24" s="1" customFormat="1" ht="24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86</v>
      </c>
      <c r="O37" s="24"/>
      <c r="P37" s="25">
        <f>1000000</f>
        <v>1000000</v>
      </c>
      <c r="Q37" s="25"/>
      <c r="R37" s="25"/>
      <c r="S37" s="25">
        <f>666600</f>
        <v>666600</v>
      </c>
      <c r="T37" s="25"/>
      <c r="U37" s="25"/>
      <c r="V37" s="25"/>
      <c r="W37" s="26">
        <f>333400</f>
        <v>333400</v>
      </c>
      <c r="X37" s="26"/>
    </row>
    <row r="38" spans="1:24" s="1" customFormat="1" ht="24" customHeight="1">
      <c r="A38" s="23" t="s">
        <v>87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88</v>
      </c>
      <c r="O38" s="24"/>
      <c r="P38" s="25">
        <f>25047800</f>
        <v>25047800</v>
      </c>
      <c r="Q38" s="25"/>
      <c r="R38" s="25"/>
      <c r="S38" s="27" t="s">
        <v>44</v>
      </c>
      <c r="T38" s="27"/>
      <c r="U38" s="27"/>
      <c r="V38" s="27"/>
      <c r="W38" s="26">
        <f>25047800</f>
        <v>25047800</v>
      </c>
      <c r="X38" s="26"/>
    </row>
    <row r="39" spans="1:24" s="1" customFormat="1" ht="13.5" customHeight="1">
      <c r="A39" s="23" t="s">
        <v>89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90</v>
      </c>
      <c r="O39" s="24"/>
      <c r="P39" s="25">
        <f>17567000</f>
        <v>17567000</v>
      </c>
      <c r="Q39" s="25"/>
      <c r="R39" s="25"/>
      <c r="S39" s="25">
        <f>5646308.89</f>
        <v>5646308.89</v>
      </c>
      <c r="T39" s="25"/>
      <c r="U39" s="25"/>
      <c r="V39" s="25"/>
      <c r="W39" s="26">
        <f>11920691.11</f>
        <v>11920691.11</v>
      </c>
      <c r="X39" s="26"/>
    </row>
    <row r="40" spans="1:24" s="1" customFormat="1" ht="24" customHeight="1">
      <c r="A40" s="23" t="s">
        <v>91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92</v>
      </c>
      <c r="O40" s="24"/>
      <c r="P40" s="25">
        <f>7600</f>
        <v>7600</v>
      </c>
      <c r="Q40" s="25"/>
      <c r="R40" s="25"/>
      <c r="S40" s="27" t="s">
        <v>44</v>
      </c>
      <c r="T40" s="27"/>
      <c r="U40" s="27"/>
      <c r="V40" s="27"/>
      <c r="W40" s="26">
        <f>7600</f>
        <v>7600</v>
      </c>
      <c r="X40" s="26"/>
    </row>
    <row r="41" spans="1:24" s="1" customFormat="1" ht="24" customHeight="1">
      <c r="A41" s="23" t="s">
        <v>93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94</v>
      </c>
      <c r="O41" s="24"/>
      <c r="P41" s="25">
        <f>490600</f>
        <v>490600</v>
      </c>
      <c r="Q41" s="25"/>
      <c r="R41" s="25"/>
      <c r="S41" s="25">
        <f>316098.65</f>
        <v>316098.65</v>
      </c>
      <c r="T41" s="25"/>
      <c r="U41" s="25"/>
      <c r="V41" s="25"/>
      <c r="W41" s="26">
        <f>174501.35</f>
        <v>174501.35</v>
      </c>
      <c r="X41" s="26"/>
    </row>
    <row r="42" spans="1:24" s="1" customFormat="1" ht="24" customHeight="1">
      <c r="A42" s="23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96</v>
      </c>
      <c r="O42" s="24"/>
      <c r="P42" s="25">
        <f>850000</f>
        <v>850000</v>
      </c>
      <c r="Q42" s="25"/>
      <c r="R42" s="25"/>
      <c r="S42" s="25">
        <f>850000</f>
        <v>850000</v>
      </c>
      <c r="T42" s="25"/>
      <c r="U42" s="25"/>
      <c r="V42" s="25"/>
      <c r="W42" s="26">
        <f>0</f>
        <v>0</v>
      </c>
      <c r="X42" s="26"/>
    </row>
    <row r="43" spans="1:24" s="1" customFormat="1" ht="24" customHeight="1">
      <c r="A43" s="23" t="s">
        <v>97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98</v>
      </c>
      <c r="O43" s="24"/>
      <c r="P43" s="27" t="s">
        <v>44</v>
      </c>
      <c r="Q43" s="27"/>
      <c r="R43" s="27"/>
      <c r="S43" s="25">
        <f>155308.1</f>
        <v>155308.1</v>
      </c>
      <c r="T43" s="25"/>
      <c r="U43" s="25"/>
      <c r="V43" s="25"/>
      <c r="W43" s="28" t="s">
        <v>44</v>
      </c>
      <c r="X43" s="28"/>
    </row>
    <row r="44" spans="1:24" s="1" customFormat="1" ht="13.5" customHeight="1">
      <c r="A44" s="29" t="s">
        <v>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99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22</v>
      </c>
      <c r="M46" s="13"/>
      <c r="N46" s="13" t="s">
        <v>100</v>
      </c>
      <c r="O46" s="13"/>
      <c r="P46" s="14" t="s">
        <v>24</v>
      </c>
      <c r="Q46" s="14"/>
      <c r="R46" s="14"/>
      <c r="S46" s="14" t="s">
        <v>25</v>
      </c>
      <c r="T46" s="14"/>
      <c r="U46" s="14"/>
      <c r="V46" s="14"/>
      <c r="W46" s="15" t="s">
        <v>26</v>
      </c>
      <c r="X46" s="15"/>
    </row>
    <row r="47" spans="1:24" s="1" customFormat="1" ht="13.5" customHeight="1">
      <c r="A47" s="16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28</v>
      </c>
      <c r="M47" s="16"/>
      <c r="N47" s="16" t="s">
        <v>29</v>
      </c>
      <c r="O47" s="16"/>
      <c r="P47" s="17" t="s">
        <v>30</v>
      </c>
      <c r="Q47" s="17"/>
      <c r="R47" s="17"/>
      <c r="S47" s="17" t="s">
        <v>31</v>
      </c>
      <c r="T47" s="17"/>
      <c r="U47" s="17"/>
      <c r="V47" s="17"/>
      <c r="W47" s="18" t="s">
        <v>32</v>
      </c>
      <c r="X47" s="18"/>
    </row>
    <row r="48" spans="1:24" s="1" customFormat="1" ht="13.5" customHeight="1">
      <c r="A48" s="19" t="s">
        <v>101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102</v>
      </c>
      <c r="M48" s="20"/>
      <c r="N48" s="20" t="s">
        <v>35</v>
      </c>
      <c r="O48" s="20"/>
      <c r="P48" s="21">
        <f>98585832.76</f>
        <v>98585832.76</v>
      </c>
      <c r="Q48" s="21"/>
      <c r="R48" s="21"/>
      <c r="S48" s="21">
        <f>41242213.74</f>
        <v>41242213.74</v>
      </c>
      <c r="T48" s="21"/>
      <c r="U48" s="21"/>
      <c r="V48" s="21"/>
      <c r="W48" s="22">
        <f>57343619.02</f>
        <v>57343619.02</v>
      </c>
      <c r="X48" s="22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102</v>
      </c>
      <c r="M49" s="31"/>
      <c r="N49" s="31" t="s">
        <v>104</v>
      </c>
      <c r="O49" s="31"/>
      <c r="P49" s="32">
        <f>787400</f>
        <v>787400</v>
      </c>
      <c r="Q49" s="32"/>
      <c r="R49" s="32"/>
      <c r="S49" s="32">
        <f>549332</f>
        <v>549332</v>
      </c>
      <c r="T49" s="32"/>
      <c r="U49" s="32"/>
      <c r="V49" s="32"/>
      <c r="W49" s="33">
        <f>238068</f>
        <v>238068</v>
      </c>
      <c r="X49" s="33"/>
    </row>
    <row r="50" spans="1:24" s="1" customFormat="1" ht="33.75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102</v>
      </c>
      <c r="M50" s="31"/>
      <c r="N50" s="31" t="s">
        <v>106</v>
      </c>
      <c r="O50" s="31"/>
      <c r="P50" s="32">
        <f>237800</f>
        <v>237800</v>
      </c>
      <c r="Q50" s="32"/>
      <c r="R50" s="32"/>
      <c r="S50" s="32">
        <f>146177.05</f>
        <v>146177.05</v>
      </c>
      <c r="T50" s="32"/>
      <c r="U50" s="32"/>
      <c r="V50" s="32"/>
      <c r="W50" s="33">
        <f>91622.95</f>
        <v>91622.95</v>
      </c>
      <c r="X50" s="33"/>
    </row>
    <row r="51" spans="1:24" s="1" customFormat="1" ht="13.5" customHeight="1">
      <c r="A51" s="30" t="s">
        <v>103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102</v>
      </c>
      <c r="M51" s="31"/>
      <c r="N51" s="31" t="s">
        <v>107</v>
      </c>
      <c r="O51" s="31"/>
      <c r="P51" s="32">
        <f>4967400</f>
        <v>4967400</v>
      </c>
      <c r="Q51" s="32"/>
      <c r="R51" s="32"/>
      <c r="S51" s="32">
        <f>3560729.42</f>
        <v>3560729.42</v>
      </c>
      <c r="T51" s="32"/>
      <c r="U51" s="32"/>
      <c r="V51" s="32"/>
      <c r="W51" s="33">
        <f>1406670.58</f>
        <v>1406670.58</v>
      </c>
      <c r="X51" s="33"/>
    </row>
    <row r="52" spans="1:24" s="1" customFormat="1" ht="24" customHeight="1">
      <c r="A52" s="30" t="s">
        <v>108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102</v>
      </c>
      <c r="M52" s="31"/>
      <c r="N52" s="31" t="s">
        <v>109</v>
      </c>
      <c r="O52" s="31"/>
      <c r="P52" s="32">
        <f>3500</f>
        <v>3500</v>
      </c>
      <c r="Q52" s="32"/>
      <c r="R52" s="32"/>
      <c r="S52" s="32">
        <f>3335</f>
        <v>3335</v>
      </c>
      <c r="T52" s="32"/>
      <c r="U52" s="32"/>
      <c r="V52" s="32"/>
      <c r="W52" s="33">
        <f>165</f>
        <v>165</v>
      </c>
      <c r="X52" s="33"/>
    </row>
    <row r="53" spans="1:24" s="1" customFormat="1" ht="33.7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102</v>
      </c>
      <c r="M53" s="31"/>
      <c r="N53" s="31" t="s">
        <v>110</v>
      </c>
      <c r="O53" s="31"/>
      <c r="P53" s="32">
        <f>1500200</f>
        <v>1500200</v>
      </c>
      <c r="Q53" s="32"/>
      <c r="R53" s="32"/>
      <c r="S53" s="32">
        <f>1102366.92</f>
        <v>1102366.92</v>
      </c>
      <c r="T53" s="32"/>
      <c r="U53" s="32"/>
      <c r="V53" s="32"/>
      <c r="W53" s="33">
        <f>397833.08</f>
        <v>397833.08</v>
      </c>
      <c r="X53" s="33"/>
    </row>
    <row r="54" spans="1:24" s="1" customFormat="1" ht="13.5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102</v>
      </c>
      <c r="M54" s="31"/>
      <c r="N54" s="31" t="s">
        <v>112</v>
      </c>
      <c r="O54" s="31"/>
      <c r="P54" s="32">
        <f>330000</f>
        <v>330000</v>
      </c>
      <c r="Q54" s="32"/>
      <c r="R54" s="32"/>
      <c r="S54" s="32">
        <f>175052.8</f>
        <v>175052.8</v>
      </c>
      <c r="T54" s="32"/>
      <c r="U54" s="32"/>
      <c r="V54" s="32"/>
      <c r="W54" s="33">
        <f>154947.2</f>
        <v>154947.2</v>
      </c>
      <c r="X54" s="33"/>
    </row>
    <row r="55" spans="1:24" s="1" customFormat="1" ht="13.5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102</v>
      </c>
      <c r="M55" s="31"/>
      <c r="N55" s="31" t="s">
        <v>114</v>
      </c>
      <c r="O55" s="31"/>
      <c r="P55" s="32">
        <f>4500</f>
        <v>4500</v>
      </c>
      <c r="Q55" s="32"/>
      <c r="R55" s="32"/>
      <c r="S55" s="32">
        <f>4144</f>
        <v>4144</v>
      </c>
      <c r="T55" s="32"/>
      <c r="U55" s="32"/>
      <c r="V55" s="32"/>
      <c r="W55" s="33">
        <f>356</f>
        <v>356</v>
      </c>
      <c r="X55" s="33"/>
    </row>
    <row r="56" spans="1:24" s="1" customFormat="1" ht="13.5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102</v>
      </c>
      <c r="M56" s="31"/>
      <c r="N56" s="31" t="s">
        <v>116</v>
      </c>
      <c r="O56" s="31"/>
      <c r="P56" s="32">
        <f>25000</f>
        <v>25000</v>
      </c>
      <c r="Q56" s="32"/>
      <c r="R56" s="32"/>
      <c r="S56" s="32">
        <f>14756.4</f>
        <v>14756.4</v>
      </c>
      <c r="T56" s="32"/>
      <c r="U56" s="32"/>
      <c r="V56" s="32"/>
      <c r="W56" s="33">
        <f>10243.6</f>
        <v>10243.6</v>
      </c>
      <c r="X56" s="33"/>
    </row>
    <row r="57" spans="1:24" s="1" customFormat="1" ht="13.5" customHeight="1">
      <c r="A57" s="30" t="s">
        <v>111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102</v>
      </c>
      <c r="M57" s="31"/>
      <c r="N57" s="31" t="s">
        <v>117</v>
      </c>
      <c r="O57" s="31"/>
      <c r="P57" s="32">
        <f>7600</f>
        <v>7600</v>
      </c>
      <c r="Q57" s="32"/>
      <c r="R57" s="32"/>
      <c r="S57" s="34" t="s">
        <v>44</v>
      </c>
      <c r="T57" s="34"/>
      <c r="U57" s="34"/>
      <c r="V57" s="34"/>
      <c r="W57" s="33">
        <f>7600</f>
        <v>7600</v>
      </c>
      <c r="X57" s="33"/>
    </row>
    <row r="58" spans="1:24" s="1" customFormat="1" ht="13.5" customHeight="1">
      <c r="A58" s="30" t="s">
        <v>118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102</v>
      </c>
      <c r="M58" s="31"/>
      <c r="N58" s="31" t="s">
        <v>119</v>
      </c>
      <c r="O58" s="31"/>
      <c r="P58" s="32">
        <f>285300</f>
        <v>285300</v>
      </c>
      <c r="Q58" s="32"/>
      <c r="R58" s="32"/>
      <c r="S58" s="32">
        <f>142650</f>
        <v>142650</v>
      </c>
      <c r="T58" s="32"/>
      <c r="U58" s="32"/>
      <c r="V58" s="32"/>
      <c r="W58" s="33">
        <f>142650</f>
        <v>142650</v>
      </c>
      <c r="X58" s="33"/>
    </row>
    <row r="59" spans="1:24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102</v>
      </c>
      <c r="M59" s="31"/>
      <c r="N59" s="31" t="s">
        <v>121</v>
      </c>
      <c r="O59" s="31"/>
      <c r="P59" s="32">
        <f>655000</f>
        <v>655000</v>
      </c>
      <c r="Q59" s="32"/>
      <c r="R59" s="32"/>
      <c r="S59" s="32">
        <f>655000</f>
        <v>655000</v>
      </c>
      <c r="T59" s="32"/>
      <c r="U59" s="32"/>
      <c r="V59" s="32"/>
      <c r="W59" s="33">
        <f>0</f>
        <v>0</v>
      </c>
      <c r="X59" s="33"/>
    </row>
    <row r="60" spans="1:24" s="1" customFormat="1" ht="13.5" customHeight="1">
      <c r="A60" s="30" t="s">
        <v>122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102</v>
      </c>
      <c r="M60" s="31"/>
      <c r="N60" s="31" t="s">
        <v>123</v>
      </c>
      <c r="O60" s="31"/>
      <c r="P60" s="32">
        <f>40000</f>
        <v>40000</v>
      </c>
      <c r="Q60" s="32"/>
      <c r="R60" s="32"/>
      <c r="S60" s="34" t="s">
        <v>44</v>
      </c>
      <c r="T60" s="34"/>
      <c r="U60" s="34"/>
      <c r="V60" s="34"/>
      <c r="W60" s="33">
        <f>40000</f>
        <v>40000</v>
      </c>
      <c r="X60" s="33"/>
    </row>
    <row r="61" spans="1:24" s="1" customFormat="1" ht="13.5" customHeight="1">
      <c r="A61" s="30" t="s">
        <v>111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102</v>
      </c>
      <c r="M61" s="31"/>
      <c r="N61" s="31" t="s">
        <v>124</v>
      </c>
      <c r="O61" s="31"/>
      <c r="P61" s="32">
        <f>143600</f>
        <v>143600</v>
      </c>
      <c r="Q61" s="32"/>
      <c r="R61" s="32"/>
      <c r="S61" s="34" t="s">
        <v>44</v>
      </c>
      <c r="T61" s="34"/>
      <c r="U61" s="34"/>
      <c r="V61" s="34"/>
      <c r="W61" s="33">
        <f>143600</f>
        <v>143600</v>
      </c>
      <c r="X61" s="33"/>
    </row>
    <row r="62" spans="1:24" s="1" customFormat="1" ht="24" customHeight="1">
      <c r="A62" s="30" t="s">
        <v>125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102</v>
      </c>
      <c r="M62" s="31"/>
      <c r="N62" s="31" t="s">
        <v>126</v>
      </c>
      <c r="O62" s="31"/>
      <c r="P62" s="32">
        <f>322700</f>
        <v>322700</v>
      </c>
      <c r="Q62" s="32"/>
      <c r="R62" s="32"/>
      <c r="S62" s="32">
        <f>322655.08</f>
        <v>322655.08</v>
      </c>
      <c r="T62" s="32"/>
      <c r="U62" s="32"/>
      <c r="V62" s="32"/>
      <c r="W62" s="33">
        <f>44.92</f>
        <v>44.92</v>
      </c>
      <c r="X62" s="33"/>
    </row>
    <row r="63" spans="1:24" s="1" customFormat="1" ht="13.5" customHeight="1">
      <c r="A63" s="30" t="s">
        <v>127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102</v>
      </c>
      <c r="M63" s="31"/>
      <c r="N63" s="31" t="s">
        <v>128</v>
      </c>
      <c r="O63" s="31"/>
      <c r="P63" s="32">
        <f>4879500</f>
        <v>4879500</v>
      </c>
      <c r="Q63" s="32"/>
      <c r="R63" s="32"/>
      <c r="S63" s="32">
        <f>3649600</f>
        <v>3649600</v>
      </c>
      <c r="T63" s="32"/>
      <c r="U63" s="32"/>
      <c r="V63" s="32"/>
      <c r="W63" s="33">
        <f>1229900</f>
        <v>1229900</v>
      </c>
      <c r="X63" s="33"/>
    </row>
    <row r="64" spans="1:24" s="1" customFormat="1" ht="24" customHeight="1">
      <c r="A64" s="30" t="s">
        <v>129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102</v>
      </c>
      <c r="M64" s="31"/>
      <c r="N64" s="31" t="s">
        <v>130</v>
      </c>
      <c r="O64" s="31"/>
      <c r="P64" s="32">
        <f>1473600</f>
        <v>1473600</v>
      </c>
      <c r="Q64" s="32"/>
      <c r="R64" s="32"/>
      <c r="S64" s="32">
        <f>985917.89</f>
        <v>985917.89</v>
      </c>
      <c r="T64" s="32"/>
      <c r="U64" s="32"/>
      <c r="V64" s="32"/>
      <c r="W64" s="33">
        <f>487682.11</f>
        <v>487682.11</v>
      </c>
      <c r="X64" s="33"/>
    </row>
    <row r="65" spans="1:24" s="1" customFormat="1" ht="13.5" customHeight="1">
      <c r="A65" s="30" t="s">
        <v>111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102</v>
      </c>
      <c r="M65" s="31"/>
      <c r="N65" s="31" t="s">
        <v>131</v>
      </c>
      <c r="O65" s="31"/>
      <c r="P65" s="32">
        <f>1616000</f>
        <v>1616000</v>
      </c>
      <c r="Q65" s="32"/>
      <c r="R65" s="32"/>
      <c r="S65" s="32">
        <f>1611619.6</f>
        <v>1611619.6</v>
      </c>
      <c r="T65" s="32"/>
      <c r="U65" s="32"/>
      <c r="V65" s="32"/>
      <c r="W65" s="33">
        <f>4380.4</f>
        <v>4380.4</v>
      </c>
      <c r="X65" s="33"/>
    </row>
    <row r="66" spans="1:24" s="1" customFormat="1" ht="13.5" customHeight="1">
      <c r="A66" s="30" t="s">
        <v>132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102</v>
      </c>
      <c r="M66" s="31"/>
      <c r="N66" s="31" t="s">
        <v>133</v>
      </c>
      <c r="O66" s="31"/>
      <c r="P66" s="32">
        <f>920000</f>
        <v>920000</v>
      </c>
      <c r="Q66" s="32"/>
      <c r="R66" s="32"/>
      <c r="S66" s="32">
        <f>541573.91</f>
        <v>541573.91</v>
      </c>
      <c r="T66" s="32"/>
      <c r="U66" s="32"/>
      <c r="V66" s="32"/>
      <c r="W66" s="33">
        <f>378426.09</f>
        <v>378426.09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102</v>
      </c>
      <c r="M67" s="31"/>
      <c r="N67" s="31" t="s">
        <v>134</v>
      </c>
      <c r="O67" s="31"/>
      <c r="P67" s="32">
        <f>15000</f>
        <v>15000</v>
      </c>
      <c r="Q67" s="32"/>
      <c r="R67" s="32"/>
      <c r="S67" s="32">
        <f>3424</f>
        <v>3424</v>
      </c>
      <c r="T67" s="32"/>
      <c r="U67" s="32"/>
      <c r="V67" s="32"/>
      <c r="W67" s="33">
        <f>11576</f>
        <v>11576</v>
      </c>
      <c r="X67" s="33"/>
    </row>
    <row r="68" spans="1:24" s="1" customFormat="1" ht="13.5" customHeight="1">
      <c r="A68" s="30" t="s">
        <v>115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102</v>
      </c>
      <c r="M68" s="31"/>
      <c r="N68" s="31" t="s">
        <v>135</v>
      </c>
      <c r="O68" s="31"/>
      <c r="P68" s="32">
        <f>6000</f>
        <v>6000</v>
      </c>
      <c r="Q68" s="32"/>
      <c r="R68" s="32"/>
      <c r="S68" s="34" t="s">
        <v>44</v>
      </c>
      <c r="T68" s="34"/>
      <c r="U68" s="34"/>
      <c r="V68" s="34"/>
      <c r="W68" s="33">
        <f>6000</f>
        <v>6000</v>
      </c>
      <c r="X68" s="33"/>
    </row>
    <row r="69" spans="1:24" s="1" customFormat="1" ht="13.5" customHeight="1">
      <c r="A69" s="30" t="s">
        <v>103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102</v>
      </c>
      <c r="M69" s="31"/>
      <c r="N69" s="31" t="s">
        <v>136</v>
      </c>
      <c r="O69" s="31"/>
      <c r="P69" s="32">
        <f>376800</f>
        <v>376800</v>
      </c>
      <c r="Q69" s="32"/>
      <c r="R69" s="32"/>
      <c r="S69" s="32">
        <f>244171</f>
        <v>244171</v>
      </c>
      <c r="T69" s="32"/>
      <c r="U69" s="32"/>
      <c r="V69" s="32"/>
      <c r="W69" s="33">
        <f>132629</f>
        <v>132629</v>
      </c>
      <c r="X69" s="33"/>
    </row>
    <row r="70" spans="1:24" s="1" customFormat="1" ht="33.75" customHeight="1">
      <c r="A70" s="30" t="s">
        <v>105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102</v>
      </c>
      <c r="M70" s="31"/>
      <c r="N70" s="31" t="s">
        <v>137</v>
      </c>
      <c r="O70" s="31"/>
      <c r="P70" s="32">
        <f>113800</f>
        <v>113800</v>
      </c>
      <c r="Q70" s="32"/>
      <c r="R70" s="32"/>
      <c r="S70" s="32">
        <f>71927.65</f>
        <v>71927.65</v>
      </c>
      <c r="T70" s="32"/>
      <c r="U70" s="32"/>
      <c r="V70" s="32"/>
      <c r="W70" s="33">
        <f>41872.35</f>
        <v>41872.35</v>
      </c>
      <c r="X70" s="33"/>
    </row>
    <row r="71" spans="1:24" s="1" customFormat="1" ht="13.5" customHeight="1">
      <c r="A71" s="30" t="s">
        <v>111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102</v>
      </c>
      <c r="M71" s="31"/>
      <c r="N71" s="31" t="s">
        <v>138</v>
      </c>
      <c r="O71" s="31"/>
      <c r="P71" s="32">
        <f>33300</f>
        <v>33300</v>
      </c>
      <c r="Q71" s="32"/>
      <c r="R71" s="32"/>
      <c r="S71" s="34" t="s">
        <v>44</v>
      </c>
      <c r="T71" s="34"/>
      <c r="U71" s="34"/>
      <c r="V71" s="34"/>
      <c r="W71" s="33">
        <f>33300</f>
        <v>33300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102</v>
      </c>
      <c r="M72" s="31"/>
      <c r="N72" s="31" t="s">
        <v>139</v>
      </c>
      <c r="O72" s="31"/>
      <c r="P72" s="32">
        <f>97500</f>
        <v>97500</v>
      </c>
      <c r="Q72" s="32"/>
      <c r="R72" s="32"/>
      <c r="S72" s="32">
        <f>97440</f>
        <v>97440</v>
      </c>
      <c r="T72" s="32"/>
      <c r="U72" s="32"/>
      <c r="V72" s="32"/>
      <c r="W72" s="33">
        <f>60</f>
        <v>60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102</v>
      </c>
      <c r="M73" s="31"/>
      <c r="N73" s="31" t="s">
        <v>140</v>
      </c>
      <c r="O73" s="31"/>
      <c r="P73" s="32">
        <f>50000</f>
        <v>50000</v>
      </c>
      <c r="Q73" s="32"/>
      <c r="R73" s="32"/>
      <c r="S73" s="34" t="s">
        <v>44</v>
      </c>
      <c r="T73" s="34"/>
      <c r="U73" s="34"/>
      <c r="V73" s="34"/>
      <c r="W73" s="33">
        <f>50000</f>
        <v>50000</v>
      </c>
      <c r="X73" s="33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102</v>
      </c>
      <c r="M74" s="31"/>
      <c r="N74" s="31" t="s">
        <v>141</v>
      </c>
      <c r="O74" s="31"/>
      <c r="P74" s="32">
        <f>9000</f>
        <v>9000</v>
      </c>
      <c r="Q74" s="32"/>
      <c r="R74" s="32"/>
      <c r="S74" s="32">
        <f>8400</f>
        <v>8400</v>
      </c>
      <c r="T74" s="32"/>
      <c r="U74" s="32"/>
      <c r="V74" s="32"/>
      <c r="W74" s="33">
        <f>600</f>
        <v>600</v>
      </c>
      <c r="X74" s="33"/>
    </row>
    <row r="75" spans="1:24" s="1" customFormat="1" ht="13.5" customHeight="1">
      <c r="A75" s="30" t="s">
        <v>142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102</v>
      </c>
      <c r="M75" s="31"/>
      <c r="N75" s="31" t="s">
        <v>143</v>
      </c>
      <c r="O75" s="31"/>
      <c r="P75" s="32">
        <f>60000</f>
        <v>60000</v>
      </c>
      <c r="Q75" s="32"/>
      <c r="R75" s="32"/>
      <c r="S75" s="32">
        <f>45418.98</f>
        <v>45418.98</v>
      </c>
      <c r="T75" s="32"/>
      <c r="U75" s="32"/>
      <c r="V75" s="32"/>
      <c r="W75" s="33">
        <f>14581.02</f>
        <v>14581.02</v>
      </c>
      <c r="X75" s="33"/>
    </row>
    <row r="76" spans="1:24" s="1" customFormat="1" ht="13.5" customHeight="1">
      <c r="A76" s="30" t="s">
        <v>111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102</v>
      </c>
      <c r="M76" s="31"/>
      <c r="N76" s="31" t="s">
        <v>144</v>
      </c>
      <c r="O76" s="31"/>
      <c r="P76" s="32">
        <f>3415053.43</f>
        <v>3415053.43</v>
      </c>
      <c r="Q76" s="32"/>
      <c r="R76" s="32"/>
      <c r="S76" s="32">
        <f>3077286.4</f>
        <v>3077286.4</v>
      </c>
      <c r="T76" s="32"/>
      <c r="U76" s="32"/>
      <c r="V76" s="32"/>
      <c r="W76" s="33">
        <f>337767.03</f>
        <v>337767.03</v>
      </c>
      <c r="X76" s="33"/>
    </row>
    <row r="77" spans="1:24" s="1" customFormat="1" ht="24" customHeight="1">
      <c r="A77" s="30" t="s">
        <v>145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102</v>
      </c>
      <c r="M77" s="31"/>
      <c r="N77" s="31" t="s">
        <v>146</v>
      </c>
      <c r="O77" s="31"/>
      <c r="P77" s="32">
        <f>1160000</f>
        <v>1160000</v>
      </c>
      <c r="Q77" s="32"/>
      <c r="R77" s="32"/>
      <c r="S77" s="32">
        <f>1160000</f>
        <v>1160000</v>
      </c>
      <c r="T77" s="32"/>
      <c r="U77" s="32"/>
      <c r="V77" s="32"/>
      <c r="W77" s="33">
        <f>0</f>
        <v>0</v>
      </c>
      <c r="X77" s="33"/>
    </row>
    <row r="78" spans="1:24" s="1" customFormat="1" ht="13.5" customHeight="1">
      <c r="A78" s="30" t="s">
        <v>111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102</v>
      </c>
      <c r="M78" s="31"/>
      <c r="N78" s="31" t="s">
        <v>147</v>
      </c>
      <c r="O78" s="31"/>
      <c r="P78" s="32">
        <f>1040000</f>
        <v>1040000</v>
      </c>
      <c r="Q78" s="32"/>
      <c r="R78" s="32"/>
      <c r="S78" s="32">
        <f>552737</f>
        <v>552737</v>
      </c>
      <c r="T78" s="32"/>
      <c r="U78" s="32"/>
      <c r="V78" s="32"/>
      <c r="W78" s="33">
        <f>487263</f>
        <v>487263</v>
      </c>
      <c r="X78" s="33"/>
    </row>
    <row r="79" spans="1:24" s="1" customFormat="1" ht="24" customHeight="1">
      <c r="A79" s="30" t="s">
        <v>145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102</v>
      </c>
      <c r="M79" s="31"/>
      <c r="N79" s="31" t="s">
        <v>148</v>
      </c>
      <c r="O79" s="31"/>
      <c r="P79" s="32">
        <f>7058700</f>
        <v>7058700</v>
      </c>
      <c r="Q79" s="32"/>
      <c r="R79" s="32"/>
      <c r="S79" s="34" t="s">
        <v>44</v>
      </c>
      <c r="T79" s="34"/>
      <c r="U79" s="34"/>
      <c r="V79" s="34"/>
      <c r="W79" s="33">
        <f>7058700</f>
        <v>7058700</v>
      </c>
      <c r="X79" s="33"/>
    </row>
    <row r="80" spans="1:24" s="1" customFormat="1" ht="13.5" customHeight="1">
      <c r="A80" s="30" t="s">
        <v>111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102</v>
      </c>
      <c r="M80" s="31"/>
      <c r="N80" s="31" t="s">
        <v>149</v>
      </c>
      <c r="O80" s="31"/>
      <c r="P80" s="32">
        <f>0</f>
        <v>0</v>
      </c>
      <c r="Q80" s="32"/>
      <c r="R80" s="32"/>
      <c r="S80" s="34" t="s">
        <v>44</v>
      </c>
      <c r="T80" s="34"/>
      <c r="U80" s="34"/>
      <c r="V80" s="34"/>
      <c r="W80" s="35" t="s">
        <v>44</v>
      </c>
      <c r="X80" s="35"/>
    </row>
    <row r="81" spans="1:24" s="1" customFormat="1" ht="13.5" customHeight="1">
      <c r="A81" s="30" t="s">
        <v>111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102</v>
      </c>
      <c r="M81" s="31"/>
      <c r="N81" s="31" t="s">
        <v>150</v>
      </c>
      <c r="O81" s="31"/>
      <c r="P81" s="32">
        <f>1260500</f>
        <v>1260500</v>
      </c>
      <c r="Q81" s="32"/>
      <c r="R81" s="32"/>
      <c r="S81" s="34" t="s">
        <v>44</v>
      </c>
      <c r="T81" s="34"/>
      <c r="U81" s="34"/>
      <c r="V81" s="34"/>
      <c r="W81" s="33">
        <f>1260500</f>
        <v>1260500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102</v>
      </c>
      <c r="M82" s="31"/>
      <c r="N82" s="31" t="s">
        <v>151</v>
      </c>
      <c r="O82" s="31"/>
      <c r="P82" s="32">
        <f>1000</f>
        <v>1000</v>
      </c>
      <c r="Q82" s="32"/>
      <c r="R82" s="32"/>
      <c r="S82" s="34" t="s">
        <v>44</v>
      </c>
      <c r="T82" s="34"/>
      <c r="U82" s="34"/>
      <c r="V82" s="34"/>
      <c r="W82" s="33">
        <f>1000</f>
        <v>1000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102</v>
      </c>
      <c r="M83" s="31"/>
      <c r="N83" s="31" t="s">
        <v>152</v>
      </c>
      <c r="O83" s="31"/>
      <c r="P83" s="32">
        <f>25000</f>
        <v>25000</v>
      </c>
      <c r="Q83" s="32"/>
      <c r="R83" s="32"/>
      <c r="S83" s="34" t="s">
        <v>44</v>
      </c>
      <c r="T83" s="34"/>
      <c r="U83" s="34"/>
      <c r="V83" s="34"/>
      <c r="W83" s="33">
        <f>25000</f>
        <v>25000</v>
      </c>
      <c r="X83" s="33"/>
    </row>
    <row r="84" spans="1:24" s="1" customFormat="1" ht="13.5" customHeight="1">
      <c r="A84" s="30" t="s">
        <v>111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102</v>
      </c>
      <c r="M84" s="31"/>
      <c r="N84" s="31" t="s">
        <v>153</v>
      </c>
      <c r="O84" s="31"/>
      <c r="P84" s="32">
        <f>1200000</f>
        <v>1200000</v>
      </c>
      <c r="Q84" s="32"/>
      <c r="R84" s="32"/>
      <c r="S84" s="32">
        <f>300000</f>
        <v>300000</v>
      </c>
      <c r="T84" s="32"/>
      <c r="U84" s="32"/>
      <c r="V84" s="32"/>
      <c r="W84" s="33">
        <f>900000</f>
        <v>900000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102</v>
      </c>
      <c r="M85" s="31"/>
      <c r="N85" s="31" t="s">
        <v>154</v>
      </c>
      <c r="O85" s="31"/>
      <c r="P85" s="32">
        <f>25000</f>
        <v>25000</v>
      </c>
      <c r="Q85" s="32"/>
      <c r="R85" s="32"/>
      <c r="S85" s="32">
        <f>9000</f>
        <v>9000</v>
      </c>
      <c r="T85" s="32"/>
      <c r="U85" s="32"/>
      <c r="V85" s="32"/>
      <c r="W85" s="33">
        <f>16000</f>
        <v>16000</v>
      </c>
      <c r="X85" s="33"/>
    </row>
    <row r="86" spans="1:24" s="1" customFormat="1" ht="13.5" customHeight="1">
      <c r="A86" s="30" t="s">
        <v>111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102</v>
      </c>
      <c r="M86" s="31"/>
      <c r="N86" s="31" t="s">
        <v>155</v>
      </c>
      <c r="O86" s="31"/>
      <c r="P86" s="32">
        <f>30000</f>
        <v>30000</v>
      </c>
      <c r="Q86" s="32"/>
      <c r="R86" s="32"/>
      <c r="S86" s="34" t="s">
        <v>44</v>
      </c>
      <c r="T86" s="34"/>
      <c r="U86" s="34"/>
      <c r="V86" s="34"/>
      <c r="W86" s="33">
        <f>30000</f>
        <v>30000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102</v>
      </c>
      <c r="M87" s="31"/>
      <c r="N87" s="31" t="s">
        <v>156</v>
      </c>
      <c r="O87" s="31"/>
      <c r="P87" s="32">
        <f>27500</f>
        <v>27500</v>
      </c>
      <c r="Q87" s="32"/>
      <c r="R87" s="32"/>
      <c r="S87" s="34" t="s">
        <v>44</v>
      </c>
      <c r="T87" s="34"/>
      <c r="U87" s="34"/>
      <c r="V87" s="34"/>
      <c r="W87" s="33">
        <f>27500</f>
        <v>27500</v>
      </c>
      <c r="X87" s="33"/>
    </row>
    <row r="88" spans="1:24" s="1" customFormat="1" ht="13.5" customHeight="1">
      <c r="A88" s="30" t="s">
        <v>115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102</v>
      </c>
      <c r="M88" s="31"/>
      <c r="N88" s="31" t="s">
        <v>157</v>
      </c>
      <c r="O88" s="31"/>
      <c r="P88" s="32">
        <f>10000</f>
        <v>10000</v>
      </c>
      <c r="Q88" s="32"/>
      <c r="R88" s="32"/>
      <c r="S88" s="34" t="s">
        <v>44</v>
      </c>
      <c r="T88" s="34"/>
      <c r="U88" s="34"/>
      <c r="V88" s="34"/>
      <c r="W88" s="33">
        <f>10000</f>
        <v>10000</v>
      </c>
      <c r="X88" s="33"/>
    </row>
    <row r="89" spans="1:24" s="1" customFormat="1" ht="13.5" customHeight="1">
      <c r="A89" s="30" t="s">
        <v>111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102</v>
      </c>
      <c r="M89" s="31"/>
      <c r="N89" s="31" t="s">
        <v>158</v>
      </c>
      <c r="O89" s="31"/>
      <c r="P89" s="32">
        <f>18000</f>
        <v>18000</v>
      </c>
      <c r="Q89" s="32"/>
      <c r="R89" s="32"/>
      <c r="S89" s="32">
        <f>2448</f>
        <v>2448</v>
      </c>
      <c r="T89" s="32"/>
      <c r="U89" s="32"/>
      <c r="V89" s="32"/>
      <c r="W89" s="33">
        <f>15552</f>
        <v>15552</v>
      </c>
      <c r="X89" s="33"/>
    </row>
    <row r="90" spans="1:24" s="1" customFormat="1" ht="13.5" customHeight="1">
      <c r="A90" s="30" t="s">
        <v>111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102</v>
      </c>
      <c r="M90" s="31"/>
      <c r="N90" s="31" t="s">
        <v>159</v>
      </c>
      <c r="O90" s="31"/>
      <c r="P90" s="32">
        <f>100000</f>
        <v>100000</v>
      </c>
      <c r="Q90" s="32"/>
      <c r="R90" s="32"/>
      <c r="S90" s="32">
        <f>82805.3</f>
        <v>82805.3</v>
      </c>
      <c r="T90" s="32"/>
      <c r="U90" s="32"/>
      <c r="V90" s="32"/>
      <c r="W90" s="33">
        <f>17194.7</f>
        <v>17194.7</v>
      </c>
      <c r="X90" s="33"/>
    </row>
    <row r="91" spans="1:24" s="1" customFormat="1" ht="24" customHeight="1">
      <c r="A91" s="30" t="s">
        <v>145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102</v>
      </c>
      <c r="M91" s="31"/>
      <c r="N91" s="31" t="s">
        <v>160</v>
      </c>
      <c r="O91" s="31"/>
      <c r="P91" s="32">
        <f>12791900</f>
        <v>12791900</v>
      </c>
      <c r="Q91" s="32"/>
      <c r="R91" s="32"/>
      <c r="S91" s="32">
        <f>6344167.3</f>
        <v>6344167.3</v>
      </c>
      <c r="T91" s="32"/>
      <c r="U91" s="32"/>
      <c r="V91" s="32"/>
      <c r="W91" s="33">
        <f>6447732.7</f>
        <v>6447732.7</v>
      </c>
      <c r="X91" s="33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102</v>
      </c>
      <c r="M92" s="31"/>
      <c r="N92" s="31" t="s">
        <v>161</v>
      </c>
      <c r="O92" s="31"/>
      <c r="P92" s="32">
        <f>54000</f>
        <v>54000</v>
      </c>
      <c r="Q92" s="32"/>
      <c r="R92" s="32"/>
      <c r="S92" s="32">
        <f>54000</f>
        <v>54000</v>
      </c>
      <c r="T92" s="32"/>
      <c r="U92" s="32"/>
      <c r="V92" s="32"/>
      <c r="W92" s="33">
        <f>0</f>
        <v>0</v>
      </c>
      <c r="X92" s="33"/>
    </row>
    <row r="93" spans="1:24" s="1" customFormat="1" ht="13.5" customHeight="1">
      <c r="A93" s="30" t="s">
        <v>111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102</v>
      </c>
      <c r="M93" s="31"/>
      <c r="N93" s="31" t="s">
        <v>162</v>
      </c>
      <c r="O93" s="31"/>
      <c r="P93" s="32">
        <f>400000</f>
        <v>400000</v>
      </c>
      <c r="Q93" s="32"/>
      <c r="R93" s="32"/>
      <c r="S93" s="32">
        <f>233145</f>
        <v>233145</v>
      </c>
      <c r="T93" s="32"/>
      <c r="U93" s="32"/>
      <c r="V93" s="32"/>
      <c r="W93" s="33">
        <f>166855</f>
        <v>166855</v>
      </c>
      <c r="X93" s="33"/>
    </row>
    <row r="94" spans="1:24" s="1" customFormat="1" ht="13.5" customHeight="1">
      <c r="A94" s="30" t="s">
        <v>132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102</v>
      </c>
      <c r="M94" s="31"/>
      <c r="N94" s="31" t="s">
        <v>163</v>
      </c>
      <c r="O94" s="31"/>
      <c r="P94" s="32">
        <f>1200000</f>
        <v>1200000</v>
      </c>
      <c r="Q94" s="32"/>
      <c r="R94" s="32"/>
      <c r="S94" s="32">
        <f>966779.19</f>
        <v>966779.19</v>
      </c>
      <c r="T94" s="32"/>
      <c r="U94" s="32"/>
      <c r="V94" s="32"/>
      <c r="W94" s="33">
        <f>233220.81</f>
        <v>233220.81</v>
      </c>
      <c r="X94" s="33"/>
    </row>
    <row r="95" spans="1:24" s="1" customFormat="1" ht="13.5" customHeight="1">
      <c r="A95" s="30" t="s">
        <v>111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102</v>
      </c>
      <c r="M95" s="31"/>
      <c r="N95" s="31" t="s">
        <v>164</v>
      </c>
      <c r="O95" s="31"/>
      <c r="P95" s="32">
        <f>600000</f>
        <v>600000</v>
      </c>
      <c r="Q95" s="32"/>
      <c r="R95" s="32"/>
      <c r="S95" s="32">
        <f>445576.79</f>
        <v>445576.79</v>
      </c>
      <c r="T95" s="32"/>
      <c r="U95" s="32"/>
      <c r="V95" s="32"/>
      <c r="W95" s="33">
        <f>154423.21</f>
        <v>154423.21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102</v>
      </c>
      <c r="M96" s="31"/>
      <c r="N96" s="31" t="s">
        <v>165</v>
      </c>
      <c r="O96" s="31"/>
      <c r="P96" s="32">
        <f>10000</f>
        <v>10000</v>
      </c>
      <c r="Q96" s="32"/>
      <c r="R96" s="32"/>
      <c r="S96" s="34" t="s">
        <v>44</v>
      </c>
      <c r="T96" s="34"/>
      <c r="U96" s="34"/>
      <c r="V96" s="34"/>
      <c r="W96" s="33">
        <f>10000</f>
        <v>10000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102</v>
      </c>
      <c r="M97" s="31"/>
      <c r="N97" s="31" t="s">
        <v>166</v>
      </c>
      <c r="O97" s="31"/>
      <c r="P97" s="32">
        <f>150000</f>
        <v>150000</v>
      </c>
      <c r="Q97" s="32"/>
      <c r="R97" s="32"/>
      <c r="S97" s="34" t="s">
        <v>44</v>
      </c>
      <c r="T97" s="34"/>
      <c r="U97" s="34"/>
      <c r="V97" s="34"/>
      <c r="W97" s="33">
        <f>150000</f>
        <v>150000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102</v>
      </c>
      <c r="M98" s="31"/>
      <c r="N98" s="31" t="s">
        <v>167</v>
      </c>
      <c r="O98" s="31"/>
      <c r="P98" s="32">
        <f>150000</f>
        <v>150000</v>
      </c>
      <c r="Q98" s="32"/>
      <c r="R98" s="32"/>
      <c r="S98" s="34" t="s">
        <v>44</v>
      </c>
      <c r="T98" s="34"/>
      <c r="U98" s="34"/>
      <c r="V98" s="34"/>
      <c r="W98" s="33">
        <f>150000</f>
        <v>150000</v>
      </c>
      <c r="X98" s="33"/>
    </row>
    <row r="99" spans="1:24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102</v>
      </c>
      <c r="M99" s="31"/>
      <c r="N99" s="31" t="s">
        <v>168</v>
      </c>
      <c r="O99" s="31"/>
      <c r="P99" s="32">
        <f>50000</f>
        <v>50000</v>
      </c>
      <c r="Q99" s="32"/>
      <c r="R99" s="32"/>
      <c r="S99" s="34" t="s">
        <v>44</v>
      </c>
      <c r="T99" s="34"/>
      <c r="U99" s="34"/>
      <c r="V99" s="34"/>
      <c r="W99" s="33">
        <f>50000</f>
        <v>50000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102</v>
      </c>
      <c r="M100" s="31"/>
      <c r="N100" s="31" t="s">
        <v>169</v>
      </c>
      <c r="O100" s="31"/>
      <c r="P100" s="32">
        <f>800000</f>
        <v>800000</v>
      </c>
      <c r="Q100" s="32"/>
      <c r="R100" s="32"/>
      <c r="S100" s="34" t="s">
        <v>44</v>
      </c>
      <c r="T100" s="34"/>
      <c r="U100" s="34"/>
      <c r="V100" s="34"/>
      <c r="W100" s="33">
        <f>800000</f>
        <v>800000</v>
      </c>
      <c r="X100" s="33"/>
    </row>
    <row r="101" spans="1:24" s="1" customFormat="1" ht="24" customHeight="1">
      <c r="A101" s="30" t="s">
        <v>145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102</v>
      </c>
      <c r="M101" s="31"/>
      <c r="N101" s="31" t="s">
        <v>170</v>
      </c>
      <c r="O101" s="31"/>
      <c r="P101" s="32">
        <f>28143600</f>
        <v>28143600</v>
      </c>
      <c r="Q101" s="32"/>
      <c r="R101" s="32"/>
      <c r="S101" s="34" t="s">
        <v>44</v>
      </c>
      <c r="T101" s="34"/>
      <c r="U101" s="34"/>
      <c r="V101" s="34"/>
      <c r="W101" s="33">
        <f>28143600</f>
        <v>28143600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102</v>
      </c>
      <c r="M102" s="31"/>
      <c r="N102" s="31" t="s">
        <v>171</v>
      </c>
      <c r="O102" s="31"/>
      <c r="P102" s="32">
        <f>100000</f>
        <v>100000</v>
      </c>
      <c r="Q102" s="32"/>
      <c r="R102" s="32"/>
      <c r="S102" s="32">
        <f>24800</f>
        <v>24800</v>
      </c>
      <c r="T102" s="32"/>
      <c r="U102" s="32"/>
      <c r="V102" s="32"/>
      <c r="W102" s="33">
        <f>75200</f>
        <v>75200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102</v>
      </c>
      <c r="M103" s="31"/>
      <c r="N103" s="31" t="s">
        <v>172</v>
      </c>
      <c r="O103" s="31"/>
      <c r="P103" s="32">
        <f>400000</f>
        <v>400000</v>
      </c>
      <c r="Q103" s="32"/>
      <c r="R103" s="32"/>
      <c r="S103" s="32">
        <f>198846.73</f>
        <v>198846.73</v>
      </c>
      <c r="T103" s="32"/>
      <c r="U103" s="32"/>
      <c r="V103" s="32"/>
      <c r="W103" s="33">
        <f>201153.27</f>
        <v>201153.27</v>
      </c>
      <c r="X103" s="33"/>
    </row>
    <row r="104" spans="1:24" s="1" customFormat="1" ht="24" customHeight="1">
      <c r="A104" s="30" t="s">
        <v>145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102</v>
      </c>
      <c r="M104" s="31"/>
      <c r="N104" s="31" t="s">
        <v>173</v>
      </c>
      <c r="O104" s="31"/>
      <c r="P104" s="32">
        <f>215000</f>
        <v>215000</v>
      </c>
      <c r="Q104" s="32"/>
      <c r="R104" s="32"/>
      <c r="S104" s="32">
        <f>215000</f>
        <v>215000</v>
      </c>
      <c r="T104" s="32"/>
      <c r="U104" s="32"/>
      <c r="V104" s="32"/>
      <c r="W104" s="33">
        <f>0</f>
        <v>0</v>
      </c>
      <c r="X104" s="33"/>
    </row>
    <row r="105" spans="1:24" s="1" customFormat="1" ht="13.5" customHeight="1">
      <c r="A105" s="30" t="s">
        <v>111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102</v>
      </c>
      <c r="M105" s="31"/>
      <c r="N105" s="31" t="s">
        <v>174</v>
      </c>
      <c r="O105" s="31"/>
      <c r="P105" s="32">
        <f>2378779.33</f>
        <v>2378779.33</v>
      </c>
      <c r="Q105" s="32"/>
      <c r="R105" s="32"/>
      <c r="S105" s="32">
        <f>2137096.05</f>
        <v>2137096.05</v>
      </c>
      <c r="T105" s="32"/>
      <c r="U105" s="32"/>
      <c r="V105" s="32"/>
      <c r="W105" s="33">
        <f>241683.28</f>
        <v>241683.28</v>
      </c>
      <c r="X105" s="33"/>
    </row>
    <row r="106" spans="1:24" s="1" customFormat="1" ht="13.5" customHeight="1">
      <c r="A106" s="30" t="s">
        <v>111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102</v>
      </c>
      <c r="M106" s="31"/>
      <c r="N106" s="31" t="s">
        <v>175</v>
      </c>
      <c r="O106" s="31"/>
      <c r="P106" s="32">
        <f>127900</f>
        <v>127900</v>
      </c>
      <c r="Q106" s="32"/>
      <c r="R106" s="32"/>
      <c r="S106" s="34" t="s">
        <v>44</v>
      </c>
      <c r="T106" s="34"/>
      <c r="U106" s="34"/>
      <c r="V106" s="34"/>
      <c r="W106" s="33">
        <f>127900</f>
        <v>127900</v>
      </c>
      <c r="X106" s="33"/>
    </row>
    <row r="107" spans="1:24" s="1" customFormat="1" ht="33.75" customHeight="1">
      <c r="A107" s="30" t="s">
        <v>176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102</v>
      </c>
      <c r="M107" s="31"/>
      <c r="N107" s="31" t="s">
        <v>177</v>
      </c>
      <c r="O107" s="31"/>
      <c r="P107" s="32">
        <f>13100700</f>
        <v>13100700</v>
      </c>
      <c r="Q107" s="32"/>
      <c r="R107" s="32"/>
      <c r="S107" s="32">
        <f>8636735</f>
        <v>8636735</v>
      </c>
      <c r="T107" s="32"/>
      <c r="U107" s="32"/>
      <c r="V107" s="32"/>
      <c r="W107" s="33">
        <f>4463965</f>
        <v>4463965</v>
      </c>
      <c r="X107" s="33"/>
    </row>
    <row r="108" spans="1:24" s="1" customFormat="1" ht="33.75" customHeight="1">
      <c r="A108" s="30" t="s">
        <v>176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102</v>
      </c>
      <c r="M108" s="31"/>
      <c r="N108" s="31" t="s">
        <v>178</v>
      </c>
      <c r="O108" s="31"/>
      <c r="P108" s="32">
        <f>45000</f>
        <v>45000</v>
      </c>
      <c r="Q108" s="32"/>
      <c r="R108" s="32"/>
      <c r="S108" s="34" t="s">
        <v>44</v>
      </c>
      <c r="T108" s="34"/>
      <c r="U108" s="34"/>
      <c r="V108" s="34"/>
      <c r="W108" s="33">
        <f>45000</f>
        <v>45000</v>
      </c>
      <c r="X108" s="33"/>
    </row>
    <row r="109" spans="1:24" s="1" customFormat="1" ht="13.5" customHeight="1">
      <c r="A109" s="30" t="s">
        <v>111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102</v>
      </c>
      <c r="M109" s="31"/>
      <c r="N109" s="31" t="s">
        <v>179</v>
      </c>
      <c r="O109" s="31"/>
      <c r="P109" s="32">
        <f>100000</f>
        <v>100000</v>
      </c>
      <c r="Q109" s="32"/>
      <c r="R109" s="32"/>
      <c r="S109" s="32">
        <f>83502</f>
        <v>83502</v>
      </c>
      <c r="T109" s="32"/>
      <c r="U109" s="32"/>
      <c r="V109" s="32"/>
      <c r="W109" s="33">
        <f>16498</f>
        <v>16498</v>
      </c>
      <c r="X109" s="33"/>
    </row>
    <row r="110" spans="1:24" s="1" customFormat="1" ht="13.5" customHeight="1">
      <c r="A110" s="30" t="s">
        <v>111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102</v>
      </c>
      <c r="M110" s="31"/>
      <c r="N110" s="31" t="s">
        <v>180</v>
      </c>
      <c r="O110" s="31"/>
      <c r="P110" s="32">
        <f>70000</f>
        <v>70000</v>
      </c>
      <c r="Q110" s="32"/>
      <c r="R110" s="32"/>
      <c r="S110" s="34" t="s">
        <v>44</v>
      </c>
      <c r="T110" s="34"/>
      <c r="U110" s="34"/>
      <c r="V110" s="34"/>
      <c r="W110" s="33">
        <f>70000</f>
        <v>70000</v>
      </c>
      <c r="X110" s="33"/>
    </row>
    <row r="111" spans="1:24" s="1" customFormat="1" ht="13.5" customHeight="1">
      <c r="A111" s="30" t="s">
        <v>111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102</v>
      </c>
      <c r="M111" s="31"/>
      <c r="N111" s="31" t="s">
        <v>181</v>
      </c>
      <c r="O111" s="31"/>
      <c r="P111" s="32">
        <f>10000</f>
        <v>10000</v>
      </c>
      <c r="Q111" s="32"/>
      <c r="R111" s="32"/>
      <c r="S111" s="34" t="s">
        <v>44</v>
      </c>
      <c r="T111" s="34"/>
      <c r="U111" s="34"/>
      <c r="V111" s="34"/>
      <c r="W111" s="33">
        <f>10000</f>
        <v>10000</v>
      </c>
      <c r="X111" s="33"/>
    </row>
    <row r="112" spans="1:24" s="1" customFormat="1" ht="13.5" customHeight="1">
      <c r="A112" s="30" t="s">
        <v>182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102</v>
      </c>
      <c r="M112" s="31"/>
      <c r="N112" s="31" t="s">
        <v>183</v>
      </c>
      <c r="O112" s="31"/>
      <c r="P112" s="32">
        <f>315000</f>
        <v>315000</v>
      </c>
      <c r="Q112" s="32"/>
      <c r="R112" s="32"/>
      <c r="S112" s="32">
        <f>265530.96</f>
        <v>265530.96</v>
      </c>
      <c r="T112" s="32"/>
      <c r="U112" s="32"/>
      <c r="V112" s="32"/>
      <c r="W112" s="33">
        <f>49469.04</f>
        <v>49469.04</v>
      </c>
      <c r="X112" s="33"/>
    </row>
    <row r="113" spans="1:24" s="1" customFormat="1" ht="33.75" customHeight="1">
      <c r="A113" s="30" t="s">
        <v>176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102</v>
      </c>
      <c r="M113" s="31"/>
      <c r="N113" s="31" t="s">
        <v>184</v>
      </c>
      <c r="O113" s="31"/>
      <c r="P113" s="32">
        <f>1721900</f>
        <v>1721900</v>
      </c>
      <c r="Q113" s="32"/>
      <c r="R113" s="32"/>
      <c r="S113" s="32">
        <f>1394797</f>
        <v>1394797</v>
      </c>
      <c r="T113" s="32"/>
      <c r="U113" s="32"/>
      <c r="V113" s="32"/>
      <c r="W113" s="33">
        <f>327103</f>
        <v>327103</v>
      </c>
      <c r="X113" s="33"/>
    </row>
    <row r="114" spans="1:24" s="1" customFormat="1" ht="24" customHeight="1">
      <c r="A114" s="30" t="s">
        <v>185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102</v>
      </c>
      <c r="M114" s="31"/>
      <c r="N114" s="31" t="s">
        <v>186</v>
      </c>
      <c r="O114" s="31"/>
      <c r="P114" s="32">
        <f>445000</f>
        <v>445000</v>
      </c>
      <c r="Q114" s="32"/>
      <c r="R114" s="32"/>
      <c r="S114" s="32">
        <f>401793</f>
        <v>401793</v>
      </c>
      <c r="T114" s="32"/>
      <c r="U114" s="32"/>
      <c r="V114" s="32"/>
      <c r="W114" s="33">
        <f>43207</f>
        <v>43207</v>
      </c>
      <c r="X114" s="33"/>
    </row>
    <row r="115" spans="1:24" s="1" customFormat="1" ht="24" customHeight="1">
      <c r="A115" s="30" t="s">
        <v>185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102</v>
      </c>
      <c r="M115" s="31"/>
      <c r="N115" s="31" t="s">
        <v>187</v>
      </c>
      <c r="O115" s="31"/>
      <c r="P115" s="32">
        <f>1000</f>
        <v>1000</v>
      </c>
      <c r="Q115" s="32"/>
      <c r="R115" s="32"/>
      <c r="S115" s="34" t="s">
        <v>44</v>
      </c>
      <c r="T115" s="34"/>
      <c r="U115" s="34"/>
      <c r="V115" s="34"/>
      <c r="W115" s="33">
        <f>1000</f>
        <v>1000</v>
      </c>
      <c r="X115" s="33"/>
    </row>
    <row r="116" spans="1:24" s="1" customFormat="1" ht="13.5" customHeight="1">
      <c r="A116" s="30" t="s">
        <v>111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102</v>
      </c>
      <c r="M116" s="31"/>
      <c r="N116" s="31" t="s">
        <v>188</v>
      </c>
      <c r="O116" s="31"/>
      <c r="P116" s="32">
        <f>622200</f>
        <v>622200</v>
      </c>
      <c r="Q116" s="32"/>
      <c r="R116" s="32"/>
      <c r="S116" s="32">
        <f>569928</f>
        <v>569928</v>
      </c>
      <c r="T116" s="32"/>
      <c r="U116" s="32"/>
      <c r="V116" s="32"/>
      <c r="W116" s="33">
        <f>52272</f>
        <v>52272</v>
      </c>
      <c r="X116" s="33"/>
    </row>
    <row r="117" spans="1:24" s="1" customFormat="1" ht="13.5" customHeight="1">
      <c r="A117" s="30" t="s">
        <v>189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102</v>
      </c>
      <c r="M117" s="31"/>
      <c r="N117" s="31" t="s">
        <v>190</v>
      </c>
      <c r="O117" s="31"/>
      <c r="P117" s="32">
        <f>252600</f>
        <v>252600</v>
      </c>
      <c r="Q117" s="32"/>
      <c r="R117" s="32"/>
      <c r="S117" s="32">
        <f>150548.32</f>
        <v>150548.32</v>
      </c>
      <c r="T117" s="32"/>
      <c r="U117" s="32"/>
      <c r="V117" s="32"/>
      <c r="W117" s="33">
        <f>102051.68</f>
        <v>102051.68</v>
      </c>
      <c r="X117" s="33"/>
    </row>
    <row r="118" spans="1:24" s="1" customFormat="1" ht="15" customHeight="1">
      <c r="A118" s="36" t="s">
        <v>191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7" t="s">
        <v>192</v>
      </c>
      <c r="M118" s="37"/>
      <c r="N118" s="37" t="s">
        <v>35</v>
      </c>
      <c r="O118" s="37"/>
      <c r="P118" s="38">
        <f>-5038232.76</f>
        <v>-5038232.76</v>
      </c>
      <c r="Q118" s="38"/>
      <c r="R118" s="38"/>
      <c r="S118" s="38">
        <f>-2421941.39</f>
        <v>-2421941.39</v>
      </c>
      <c r="T118" s="38"/>
      <c r="U118" s="38"/>
      <c r="V118" s="38"/>
      <c r="W118" s="39" t="s">
        <v>35</v>
      </c>
      <c r="X118" s="39"/>
    </row>
    <row r="119" spans="1:24" s="1" customFormat="1" ht="13.5" customHeight="1">
      <c r="A119" s="7" t="s">
        <v>10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12" t="s">
        <v>193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s="1" customFormat="1" ht="45.75" customHeight="1">
      <c r="A121" s="13" t="s">
        <v>21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 t="s">
        <v>22</v>
      </c>
      <c r="M121" s="13"/>
      <c r="N121" s="13" t="s">
        <v>194</v>
      </c>
      <c r="O121" s="13"/>
      <c r="P121" s="14" t="s">
        <v>24</v>
      </c>
      <c r="Q121" s="14"/>
      <c r="R121" s="14"/>
      <c r="S121" s="14" t="s">
        <v>25</v>
      </c>
      <c r="T121" s="14"/>
      <c r="U121" s="14"/>
      <c r="V121" s="14"/>
      <c r="W121" s="15" t="s">
        <v>26</v>
      </c>
      <c r="X121" s="15"/>
    </row>
    <row r="122" spans="1:24" s="1" customFormat="1" ht="12.75" customHeight="1">
      <c r="A122" s="16" t="s">
        <v>27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 t="s">
        <v>28</v>
      </c>
      <c r="M122" s="16"/>
      <c r="N122" s="16" t="s">
        <v>29</v>
      </c>
      <c r="O122" s="16"/>
      <c r="P122" s="17" t="s">
        <v>30</v>
      </c>
      <c r="Q122" s="17"/>
      <c r="R122" s="17"/>
      <c r="S122" s="17" t="s">
        <v>31</v>
      </c>
      <c r="T122" s="17"/>
      <c r="U122" s="17"/>
      <c r="V122" s="17"/>
      <c r="W122" s="18" t="s">
        <v>32</v>
      </c>
      <c r="X122" s="18"/>
    </row>
    <row r="123" spans="1:24" s="1" customFormat="1" ht="13.5" customHeight="1">
      <c r="A123" s="19" t="s">
        <v>195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 t="s">
        <v>196</v>
      </c>
      <c r="M123" s="20"/>
      <c r="N123" s="20" t="s">
        <v>35</v>
      </c>
      <c r="O123" s="20"/>
      <c r="P123" s="40">
        <f>5038232.76</f>
        <v>5038232.76</v>
      </c>
      <c r="Q123" s="40"/>
      <c r="R123" s="40"/>
      <c r="S123" s="21">
        <f>2421941.39</f>
        <v>2421941.39</v>
      </c>
      <c r="T123" s="21"/>
      <c r="U123" s="21"/>
      <c r="V123" s="21"/>
      <c r="W123" s="41" t="s">
        <v>35</v>
      </c>
      <c r="X123" s="41"/>
    </row>
    <row r="124" spans="1:24" s="1" customFormat="1" ht="13.5" customHeight="1">
      <c r="A124" s="42" t="s">
        <v>197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3" t="s">
        <v>10</v>
      </c>
      <c r="M124" s="43"/>
      <c r="N124" s="43" t="s">
        <v>10</v>
      </c>
      <c r="O124" s="43"/>
      <c r="P124" s="44" t="s">
        <v>10</v>
      </c>
      <c r="Q124" s="44"/>
      <c r="R124" s="44"/>
      <c r="S124" s="45" t="s">
        <v>10</v>
      </c>
      <c r="T124" s="45"/>
      <c r="U124" s="45"/>
      <c r="V124" s="45"/>
      <c r="W124" s="46" t="s">
        <v>10</v>
      </c>
      <c r="X124" s="46"/>
    </row>
    <row r="125" spans="1:24" s="1" customFormat="1" ht="13.5" customHeight="1">
      <c r="A125" s="23" t="s">
        <v>198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47" t="s">
        <v>199</v>
      </c>
      <c r="M125" s="47"/>
      <c r="N125" s="24" t="s">
        <v>35</v>
      </c>
      <c r="O125" s="24"/>
      <c r="P125" s="48">
        <f>1300000</f>
        <v>1300000</v>
      </c>
      <c r="Q125" s="48"/>
      <c r="R125" s="48"/>
      <c r="S125" s="25">
        <f>1300000</f>
        <v>1300000</v>
      </c>
      <c r="T125" s="25"/>
      <c r="U125" s="25"/>
      <c r="V125" s="25"/>
      <c r="W125" s="49">
        <f>0</f>
        <v>0</v>
      </c>
      <c r="X125" s="49"/>
    </row>
    <row r="126" spans="1:24" s="1" customFormat="1" ht="24" customHeight="1">
      <c r="A126" s="30" t="s">
        <v>200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199</v>
      </c>
      <c r="M126" s="31"/>
      <c r="N126" s="31" t="s">
        <v>201</v>
      </c>
      <c r="O126" s="31"/>
      <c r="P126" s="50">
        <f>4000000</f>
        <v>4000000</v>
      </c>
      <c r="Q126" s="50"/>
      <c r="R126" s="50"/>
      <c r="S126" s="32">
        <f>4000000</f>
        <v>4000000</v>
      </c>
      <c r="T126" s="32"/>
      <c r="U126" s="32"/>
      <c r="V126" s="32"/>
      <c r="W126" s="51">
        <f>0</f>
        <v>0</v>
      </c>
      <c r="X126" s="51"/>
    </row>
    <row r="127" spans="1:24" s="1" customFormat="1" ht="24" customHeight="1">
      <c r="A127" s="30" t="s">
        <v>202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199</v>
      </c>
      <c r="M127" s="31"/>
      <c r="N127" s="31" t="s">
        <v>203</v>
      </c>
      <c r="O127" s="31"/>
      <c r="P127" s="50">
        <f>-2700000</f>
        <v>-2700000</v>
      </c>
      <c r="Q127" s="50"/>
      <c r="R127" s="50"/>
      <c r="S127" s="32">
        <f>-2700000</f>
        <v>-2700000</v>
      </c>
      <c r="T127" s="32"/>
      <c r="U127" s="32"/>
      <c r="V127" s="32"/>
      <c r="W127" s="51">
        <f>0</f>
        <v>0</v>
      </c>
      <c r="X127" s="51"/>
    </row>
    <row r="128" spans="1:24" s="1" customFormat="1" ht="13.5" customHeight="1">
      <c r="A128" s="30" t="s">
        <v>204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43" t="s">
        <v>205</v>
      </c>
      <c r="M128" s="43"/>
      <c r="N128" s="43" t="s">
        <v>35</v>
      </c>
      <c r="O128" s="43"/>
      <c r="P128" s="44" t="s">
        <v>44</v>
      </c>
      <c r="Q128" s="44"/>
      <c r="R128" s="44"/>
      <c r="S128" s="34" t="s">
        <v>44</v>
      </c>
      <c r="T128" s="34"/>
      <c r="U128" s="34"/>
      <c r="V128" s="34"/>
      <c r="W128" s="46" t="s">
        <v>44</v>
      </c>
      <c r="X128" s="46"/>
    </row>
    <row r="129" spans="1:24" s="1" customFormat="1" ht="13.5" customHeight="1">
      <c r="A129" s="30" t="s">
        <v>10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205</v>
      </c>
      <c r="M129" s="31"/>
      <c r="N129" s="31" t="s">
        <v>10</v>
      </c>
      <c r="O129" s="31"/>
      <c r="P129" s="52" t="s">
        <v>44</v>
      </c>
      <c r="Q129" s="52"/>
      <c r="R129" s="52"/>
      <c r="S129" s="34" t="s">
        <v>44</v>
      </c>
      <c r="T129" s="34"/>
      <c r="U129" s="34"/>
      <c r="V129" s="34"/>
      <c r="W129" s="53" t="s">
        <v>44</v>
      </c>
      <c r="X129" s="53"/>
    </row>
    <row r="130" spans="1:24" s="1" customFormat="1" ht="13.5" customHeight="1">
      <c r="A130" s="30" t="s">
        <v>206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207</v>
      </c>
      <c r="M130" s="31"/>
      <c r="N130" s="31" t="s">
        <v>208</v>
      </c>
      <c r="O130" s="31"/>
      <c r="P130" s="50">
        <f>3738232.76</f>
        <v>3738232.76</v>
      </c>
      <c r="Q130" s="50"/>
      <c r="R130" s="50"/>
      <c r="S130" s="32">
        <f>1121941.39</f>
        <v>1121941.39</v>
      </c>
      <c r="T130" s="32"/>
      <c r="U130" s="32"/>
      <c r="V130" s="32"/>
      <c r="W130" s="51">
        <f>2616291.37</f>
        <v>2616291.37</v>
      </c>
      <c r="X130" s="51"/>
    </row>
    <row r="131" spans="1:24" s="1" customFormat="1" ht="13.5" customHeight="1">
      <c r="A131" s="30" t="s">
        <v>209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210</v>
      </c>
      <c r="M131" s="31"/>
      <c r="N131" s="31" t="s">
        <v>211</v>
      </c>
      <c r="O131" s="31"/>
      <c r="P131" s="50">
        <f>-97547600</f>
        <v>-97547600</v>
      </c>
      <c r="Q131" s="50"/>
      <c r="R131" s="50"/>
      <c r="S131" s="32">
        <f>-47009722.83</f>
        <v>-47009722.83</v>
      </c>
      <c r="T131" s="32"/>
      <c r="U131" s="32"/>
      <c r="V131" s="32"/>
      <c r="W131" s="54" t="s">
        <v>35</v>
      </c>
      <c r="X131" s="54"/>
    </row>
    <row r="132" spans="1:24" s="1" customFormat="1" ht="13.5" customHeight="1">
      <c r="A132" s="30" t="s">
        <v>212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213</v>
      </c>
      <c r="M132" s="31"/>
      <c r="N132" s="31" t="s">
        <v>214</v>
      </c>
      <c r="O132" s="31"/>
      <c r="P132" s="50">
        <f>101285832.76</f>
        <v>101285832.76</v>
      </c>
      <c r="Q132" s="50"/>
      <c r="R132" s="50"/>
      <c r="S132" s="32">
        <f>48131664.22</f>
        <v>48131664.22</v>
      </c>
      <c r="T132" s="32"/>
      <c r="U132" s="32"/>
      <c r="V132" s="32"/>
      <c r="W132" s="54" t="s">
        <v>35</v>
      </c>
      <c r="X132" s="54"/>
    </row>
    <row r="133" spans="1:24" s="1" customFormat="1" ht="13.5" customHeight="1">
      <c r="A133" s="56" t="s">
        <v>10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s="1" customFormat="1" ht="24" customHeight="1">
      <c r="A134" s="7" t="s">
        <v>215</v>
      </c>
      <c r="B134" s="7"/>
      <c r="C134" s="7"/>
      <c r="D134" s="7"/>
      <c r="E134" s="7"/>
      <c r="F134" s="7"/>
      <c r="G134" s="7"/>
      <c r="H134" s="7"/>
      <c r="I134" s="55" t="s">
        <v>10</v>
      </c>
      <c r="J134" s="55"/>
      <c r="K134" s="55"/>
      <c r="L134" s="55"/>
      <c r="M134" s="55"/>
      <c r="N134" s="55" t="s">
        <v>216</v>
      </c>
      <c r="O134" s="55"/>
      <c r="P134" s="55"/>
      <c r="Q134" s="55"/>
      <c r="R134" s="7" t="s">
        <v>10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10</v>
      </c>
      <c r="B135" s="7"/>
      <c r="C135" s="7"/>
      <c r="D135" s="7"/>
      <c r="E135" s="7"/>
      <c r="F135" s="7"/>
      <c r="G135" s="7"/>
      <c r="H135" s="7"/>
      <c r="I135" s="10" t="s">
        <v>10</v>
      </c>
      <c r="J135" s="57" t="s">
        <v>217</v>
      </c>
      <c r="K135" s="57"/>
      <c r="L135" s="57"/>
      <c r="M135" s="10" t="s">
        <v>10</v>
      </c>
      <c r="N135" s="10" t="s">
        <v>10</v>
      </c>
      <c r="O135" s="57" t="s">
        <v>218</v>
      </c>
      <c r="P135" s="57"/>
      <c r="Q135" s="7" t="s">
        <v>10</v>
      </c>
      <c r="R135" s="7"/>
      <c r="S135" s="7"/>
      <c r="T135" s="7"/>
      <c r="U135" s="7"/>
      <c r="V135" s="7"/>
      <c r="W135" s="7"/>
      <c r="X135" s="7"/>
    </row>
    <row r="136" spans="1:24" s="1" customFormat="1" ht="7.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219</v>
      </c>
      <c r="B137" s="7"/>
      <c r="C137" s="7"/>
      <c r="D137" s="7"/>
      <c r="E137" s="7"/>
      <c r="F137" s="7"/>
      <c r="G137" s="7"/>
      <c r="H137" s="7"/>
      <c r="I137" s="55" t="s">
        <v>10</v>
      </c>
      <c r="J137" s="55"/>
      <c r="K137" s="55"/>
      <c r="L137" s="55"/>
      <c r="M137" s="55"/>
      <c r="N137" s="55" t="s">
        <v>220</v>
      </c>
      <c r="O137" s="55"/>
      <c r="P137" s="55"/>
      <c r="Q137" s="55"/>
      <c r="R137" s="7" t="s">
        <v>10</v>
      </c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10</v>
      </c>
      <c r="B138" s="7"/>
      <c r="C138" s="7"/>
      <c r="D138" s="7"/>
      <c r="E138" s="7"/>
      <c r="F138" s="7"/>
      <c r="G138" s="7"/>
      <c r="H138" s="7"/>
      <c r="I138" s="10" t="s">
        <v>10</v>
      </c>
      <c r="J138" s="57" t="s">
        <v>217</v>
      </c>
      <c r="K138" s="57"/>
      <c r="L138" s="57"/>
      <c r="M138" s="10" t="s">
        <v>10</v>
      </c>
      <c r="N138" s="10" t="s">
        <v>10</v>
      </c>
      <c r="O138" s="57" t="s">
        <v>218</v>
      </c>
      <c r="P138" s="57"/>
      <c r="Q138" s="7" t="s">
        <v>10</v>
      </c>
      <c r="R138" s="7"/>
      <c r="S138" s="7"/>
      <c r="T138" s="7"/>
      <c r="U138" s="7"/>
      <c r="V138" s="7"/>
      <c r="W138" s="7"/>
      <c r="X138" s="7"/>
    </row>
    <row r="139" spans="1:24" s="1" customFormat="1" ht="7.5" customHeight="1">
      <c r="A139" s="7" t="s">
        <v>10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221</v>
      </c>
      <c r="B140" s="7"/>
      <c r="C140" s="55" t="s">
        <v>222</v>
      </c>
      <c r="D140" s="55"/>
      <c r="E140" s="55"/>
      <c r="F140" s="55"/>
      <c r="G140" s="55"/>
      <c r="H140" s="55"/>
      <c r="I140" s="55" t="s">
        <v>10</v>
      </c>
      <c r="J140" s="55"/>
      <c r="K140" s="55"/>
      <c r="L140" s="55"/>
      <c r="M140" s="55"/>
      <c r="N140" s="55" t="s">
        <v>223</v>
      </c>
      <c r="O140" s="55"/>
      <c r="P140" s="55"/>
      <c r="Q140" s="55"/>
      <c r="R140" s="7" t="s">
        <v>10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10</v>
      </c>
      <c r="B141" s="7"/>
      <c r="C141" s="10" t="s">
        <v>10</v>
      </c>
      <c r="D141" s="57" t="s">
        <v>224</v>
      </c>
      <c r="E141" s="57"/>
      <c r="F141" s="57"/>
      <c r="G141" s="57"/>
      <c r="H141" s="10" t="s">
        <v>10</v>
      </c>
      <c r="I141" s="10" t="s">
        <v>10</v>
      </c>
      <c r="J141" s="57" t="s">
        <v>217</v>
      </c>
      <c r="K141" s="57"/>
      <c r="L141" s="57"/>
      <c r="M141" s="10" t="s">
        <v>10</v>
      </c>
      <c r="N141" s="10" t="s">
        <v>10</v>
      </c>
      <c r="O141" s="57" t="s">
        <v>218</v>
      </c>
      <c r="P141" s="57"/>
      <c r="Q141" s="7" t="s">
        <v>10</v>
      </c>
      <c r="R141" s="7"/>
      <c r="S141" s="7"/>
      <c r="T141" s="7"/>
      <c r="U141" s="7"/>
      <c r="V141" s="7"/>
      <c r="W141" s="7"/>
      <c r="X141" s="7"/>
    </row>
    <row r="142" spans="1:24" s="1" customFormat="1" ht="15.75" customHeight="1">
      <c r="A142" s="7" t="s">
        <v>10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58" t="s">
        <v>225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7" t="s">
        <v>10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4" t="s">
        <v>226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</sheetData>
  <sheetProtection/>
  <mergeCells count="767">
    <mergeCell ref="A143:J143"/>
    <mergeCell ref="K143:X143"/>
    <mergeCell ref="A144:X144"/>
    <mergeCell ref="A141:B141"/>
    <mergeCell ref="D141:G141"/>
    <mergeCell ref="J141:L141"/>
    <mergeCell ref="O141:P141"/>
    <mergeCell ref="Q141:X141"/>
    <mergeCell ref="A142:X142"/>
    <mergeCell ref="A139:X139"/>
    <mergeCell ref="A140:B140"/>
    <mergeCell ref="C140:H140"/>
    <mergeCell ref="I140:M140"/>
    <mergeCell ref="N140:Q140"/>
    <mergeCell ref="R140:X140"/>
    <mergeCell ref="A136:X136"/>
    <mergeCell ref="A137:H137"/>
    <mergeCell ref="I137:M137"/>
    <mergeCell ref="N137:Q137"/>
    <mergeCell ref="R137:X137"/>
    <mergeCell ref="A138:H138"/>
    <mergeCell ref="J138:L138"/>
    <mergeCell ref="O138:P138"/>
    <mergeCell ref="Q138:X138"/>
    <mergeCell ref="A133:X133"/>
    <mergeCell ref="A134:H134"/>
    <mergeCell ref="I134:M134"/>
    <mergeCell ref="N134:Q134"/>
    <mergeCell ref="R134:X134"/>
    <mergeCell ref="A135:H135"/>
    <mergeCell ref="J135:L135"/>
    <mergeCell ref="O135:P135"/>
    <mergeCell ref="Q135:X135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19:X119"/>
    <mergeCell ref="A120:X120"/>
    <mergeCell ref="A121:K121"/>
    <mergeCell ref="L121:M121"/>
    <mergeCell ref="N121:O121"/>
    <mergeCell ref="P121:R121"/>
    <mergeCell ref="S121:V121"/>
    <mergeCell ref="W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2022-04-26T08:26:26Z</dcterms:created>
  <dcterms:modified xsi:type="dcterms:W3CDTF">2022-04-26T08:26:26Z</dcterms:modified>
  <cp:category/>
  <cp:version/>
  <cp:contentType/>
  <cp:contentStatus/>
</cp:coreProperties>
</file>