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<sst xmlns="http://schemas.openxmlformats.org/spreadsheetml/2006/main" count="474" uniqueCount="206">
  <si>
    <t>ОТЧЕТ ОБ ИСПОЛНЕНИИ БЮДЖЕТА</t>
  </si>
  <si>
    <t>КОДЫ</t>
  </si>
  <si>
    <t xml:space="preserve">Форма по ОКУД </t>
  </si>
  <si>
    <t>0503117</t>
  </si>
  <si>
    <t>на 1 апреля 2020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</si>
  <si>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</si>
  <si>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</si>
  <si>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</si>
  <si>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</si>
  <si>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</si>
  <si>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</si>
  <si>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</si>
  <si>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</si>
  <si>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>МО Пластуновское сельское поселение в составе МО Динской район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</si>
  <si>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</si>
  <si>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</si>
  <si>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</si>
  <si>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</si>
  <si>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</si>
  <si>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</si>
  <si>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</si>
  <si>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</si>
  <si>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</si>
  <si>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</si>
  <si>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</si>
  <si>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</si>
  <si>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</si>
  <si>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</si>
  <si>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</si>
  <si>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</si>
  <si>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</si>
  <si>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</si>
  <si>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</si>
  <si>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</si>
  <si>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</si>
  <si>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</si>
  <si>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</si>
  <si>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</si>
  <si>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</si>
  <si>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</si>
  <si>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</si>
  <si>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</si>
  <si>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</si>
  <si>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</si>
  <si>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</si>
  <si>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</si>
  <si>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</si>
  <si>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</si>
  <si>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</si>
  <si>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</si>
  <si>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</si>
  <si>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</si>
  <si>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</si>
  <si>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</si>
  <si>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</si>
  <si>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</si>
  <si>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</si>
  <si>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</si>
  <si>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</si>
  <si>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</si>
  <si>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</si>
  <si>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</si>
  <si>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</si>
  <si>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</si>
  <si>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</si>
  <si>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</si>
  <si>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</si>
  <si>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</si>
  <si>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</si>
  <si>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</si>
  <si>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</si>
  <si>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</si>
  <si>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</si>
  <si>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992 20225299 10 0000 150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</si>
  <si>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</si>
  <si>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</si>
  <si>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</si>
  <si>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</si>
  <si>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</si>
  <si>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</si>
  <si>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</si>
  <si>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</si>
  <si>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</si>
  <si>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</si>
  <si>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</si>
  <si>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</si>
  <si>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</si>
  <si>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</si>
  <si>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</si>
  <si>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</si>
  <si>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</si>
  <si>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</si>
  <si>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</si>
  <si>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</si>
  <si>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</si>
  <si>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</si>
  <si>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</si>
  <si>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</si>
  <si>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</si>
  <si>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</si>
  <si>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</si>
  <si>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</si>
  <si>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</si>
  <si>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992 0104 9990009030 851</t>
  </si>
  <si>
    <t>992 0104 9990009030 852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</si>
  <si>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</si>
  <si>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</si>
  <si>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</si>
  <si>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</si>
  <si>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</si>
  <si>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</si>
  <si>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</si>
  <si>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</si>
  <si>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</si>
  <si>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</si>
  <si>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</si>
  <si>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</si>
  <si>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992 0113 5180000590 852</t>
  </si>
  <si>
    <t>992 0113 5180000590 853</t>
  </si>
  <si>
    <t>992 0113 9990009030 244</t>
  </si>
  <si>
    <t>992 0203 5520051180 121</t>
  </si>
  <si>
    <t>992 0203 5520051180 129</t>
  </si>
  <si>
    <t>992 0309 0360100000 244</t>
  </si>
  <si>
    <t>992 0309 0360200000 244</t>
  </si>
  <si>
    <t>992 0309 0380100000 244</t>
  </si>
  <si>
    <t>992 0314 0370100000 244</t>
  </si>
  <si>
    <t>Субсидии бюджетным учреждениям на иные цели</t>
  </si>
  <si>
    <t>992 0401 1300200000 612</t>
  </si>
  <si>
    <t>992 0409 2010100000 244</t>
  </si>
  <si>
    <t>992 0409 2010200000 244</t>
  </si>
  <si>
    <t>992 0409 20103S2440 244</t>
  </si>
  <si>
    <t>992 0409 2020100000 244</t>
  </si>
  <si>
    <t>992 0409 2020200000 244</t>
  </si>
  <si>
    <t>992 0412 2100100000 244</t>
  </si>
  <si>
    <t>992 0412 2100100000 853</t>
  </si>
  <si>
    <t>992 0412 2100200000 244</t>
  </si>
  <si>
    <t>992 0412 2100300000 244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</si>
  <si>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</si>
  <si>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</si>
  <si>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Закупка товаров, работ, услуг в целях капитального ремонта государственного (муниципального) имущества</t>
  </si>
  <si>
    <t>992 0502 2200400000 243</t>
  </si>
  <si>
    <t>992 0502 2200400000 244</t>
  </si>
  <si>
    <t>992 0502 2200500000 244</t>
  </si>
  <si>
    <t>992 0502 22006S0330 243</t>
  </si>
  <si>
    <t>992 0503 2200200000 244</t>
  </si>
  <si>
    <t>992 0503 2400100000 244</t>
  </si>
  <si>
    <t>992 0503 2400200000 244</t>
  </si>
  <si>
    <t>992 0503 2500500000 244</t>
  </si>
  <si>
    <t>992 0503 2500900000 244</t>
  </si>
  <si>
    <t>992 0503 2501000000 244</t>
  </si>
  <si>
    <t>992 0503 250F255550 243</t>
  </si>
  <si>
    <t>992 0503 7010000000 244</t>
  </si>
  <si>
    <t>992 0503 7020000000 244</t>
  </si>
  <si>
    <t>992 0503 7030000000 243</t>
  </si>
  <si>
    <t>992 0503 7040000000 244</t>
  </si>
  <si>
    <t>992 0503 9990009030 244</t>
  </si>
  <si>
    <t>992 0801 10100L2990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</si>
  <si>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</si>
  <si>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</si>
  <si>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</si>
  <si>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</si>
  <si>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</si>
  <si>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992 0801 9990009030 612</t>
  </si>
  <si>
    <t>992 0804 1060100000 244</t>
  </si>
  <si>
    <t>992 0804 1060200000 244</t>
  </si>
  <si>
    <t>992 0804 1060300000 244</t>
  </si>
  <si>
    <t>992 0804 9990009030 244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</si>
  <si>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</si>
  <si>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</si>
  <si>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</si>
  <si>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</si>
  <si>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</si>
  <si>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992 1204 9900000950 244</t>
  </si>
  <si>
    <t>992 1204 9990009030 244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</si>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</sst>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14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zoomScalePageLayoutView="0" workbookViewId="0" topLeftCell="A101">
      <selection activeCell="A134" sqref="A134:J134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0" t="s">
        <v>5</v>
      </c>
      <c r="W3" s="10"/>
      <c r="X3" s="4">
        <v>43922</v>
      </c>
    </row>
    <row r="4" spans="1:24" s="1" customFormat="1" ht="13.5" customHeight="1">
      <c r="A4" s="9" t="s">
        <v>6</v>
      </c>
      <c r="B4" s="9"/>
      <c r="C4" s="9"/>
      <c r="D4" s="9"/>
      <c r="E4" s="9"/>
      <c r="F4" s="57" t="s">
        <v>7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7" t="s">
        <v>13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" t="s">
        <v>14</v>
      </c>
      <c r="V6" s="10"/>
      <c r="W6" s="10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21</v>
      </c>
      <c r="U8" s="10"/>
      <c r="V8" s="10"/>
      <c r="W8" s="10"/>
      <c r="X8" s="7" t="s">
        <v>22</v>
      </c>
    </row>
    <row r="9" spans="1:24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25</v>
      </c>
      <c r="M10" s="43"/>
      <c r="N10" s="43" t="s">
        <v>26</v>
      </c>
      <c r="O10" s="43"/>
      <c r="P10" s="44" t="s">
        <v>27</v>
      </c>
      <c r="Q10" s="44"/>
      <c r="R10" s="44"/>
      <c r="S10" s="44" t="s">
        <v>28</v>
      </c>
      <c r="T10" s="44"/>
      <c r="U10" s="44"/>
      <c r="V10" s="44"/>
      <c r="W10" s="45" t="s">
        <v>29</v>
      </c>
      <c r="X10" s="45"/>
    </row>
    <row r="11" spans="1:24" s="1" customFormat="1" ht="12.75" customHeight="1">
      <c r="A11" s="39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31</v>
      </c>
      <c r="M11" s="39"/>
      <c r="N11" s="39" t="s">
        <v>32</v>
      </c>
      <c r="O11" s="39"/>
      <c r="P11" s="40" t="s">
        <v>33</v>
      </c>
      <c r="Q11" s="40"/>
      <c r="R11" s="40"/>
      <c r="S11" s="40" t="s">
        <v>34</v>
      </c>
      <c r="T11" s="40"/>
      <c r="U11" s="40"/>
      <c r="V11" s="40"/>
      <c r="W11" s="41" t="s">
        <v>35</v>
      </c>
      <c r="X11" s="41"/>
    </row>
    <row r="12" spans="1:24" s="1" customFormat="1" ht="13.5" customHeight="1">
      <c r="A12" s="34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37</v>
      </c>
      <c r="M12" s="35"/>
      <c r="N12" s="35" t="s">
        <v>38</v>
      </c>
      <c r="O12" s="35"/>
      <c r="P12" s="37">
        <f>107787100</f>
        <v>107787100</v>
      </c>
      <c r="Q12" s="37"/>
      <c r="R12" s="37"/>
      <c r="S12" s="37">
        <f>10566245.9</f>
        <v>10566245.9</v>
      </c>
      <c r="T12" s="37"/>
      <c r="U12" s="37"/>
      <c r="V12" s="37"/>
      <c r="W12" s="52">
        <f>97220854.1</f>
        <v>97220854.1</v>
      </c>
      <c r="X12" s="52"/>
    </row>
    <row r="13" spans="1:24" s="1" customFormat="1" ht="66" customHeight="1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37</v>
      </c>
      <c r="M13" s="28"/>
      <c r="N13" s="28" t="s">
        <v>40</v>
      </c>
      <c r="O13" s="28"/>
      <c r="P13" s="54">
        <f>2476100</f>
        <v>2476100</v>
      </c>
      <c r="Q13" s="54"/>
      <c r="R13" s="54"/>
      <c r="S13" s="54">
        <f>554315.67</f>
        <v>554315.67</v>
      </c>
      <c r="T13" s="54"/>
      <c r="U13" s="54"/>
      <c r="V13" s="54"/>
      <c r="W13" s="55">
        <f>1921784.33</f>
        <v>1921784.33</v>
      </c>
      <c r="X13" s="55"/>
    </row>
    <row r="14" spans="1:24" s="1" customFormat="1" ht="75.75" customHeight="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37</v>
      </c>
      <c r="M14" s="28"/>
      <c r="N14" s="28" t="s">
        <v>42</v>
      </c>
      <c r="O14" s="28"/>
      <c r="P14" s="54">
        <f>25000</f>
        <v>25000</v>
      </c>
      <c r="Q14" s="54"/>
      <c r="R14" s="54"/>
      <c r="S14" s="54">
        <f>3613.56</f>
        <v>3613.56</v>
      </c>
      <c r="T14" s="54"/>
      <c r="U14" s="54"/>
      <c r="V14" s="54"/>
      <c r="W14" s="55">
        <f>21386.44</f>
        <v>21386.44</v>
      </c>
      <c r="X14" s="55"/>
    </row>
    <row r="15" spans="1:24" s="1" customFormat="1" ht="66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37</v>
      </c>
      <c r="M15" s="28"/>
      <c r="N15" s="28" t="s">
        <v>44</v>
      </c>
      <c r="O15" s="28"/>
      <c r="P15" s="54">
        <f>3500000</f>
        <v>3500000</v>
      </c>
      <c r="Q15" s="54"/>
      <c r="R15" s="54"/>
      <c r="S15" s="54">
        <f>778011.53</f>
        <v>778011.53</v>
      </c>
      <c r="T15" s="54"/>
      <c r="U15" s="54"/>
      <c r="V15" s="54"/>
      <c r="W15" s="55">
        <f>2721988.47</f>
        <v>2721988.47</v>
      </c>
      <c r="X15" s="55"/>
    </row>
    <row r="16" spans="1:24" s="1" customFormat="1" ht="66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37</v>
      </c>
      <c r="M16" s="28"/>
      <c r="N16" s="28" t="s">
        <v>46</v>
      </c>
      <c r="O16" s="28"/>
      <c r="P16" s="30" t="s">
        <v>47</v>
      </c>
      <c r="Q16" s="30"/>
      <c r="R16" s="30"/>
      <c r="S16" s="54">
        <f>-114497.78</f>
        <v>-114497.78</v>
      </c>
      <c r="T16" s="54"/>
      <c r="U16" s="54"/>
      <c r="V16" s="54"/>
      <c r="W16" s="56" t="s">
        <v>47</v>
      </c>
      <c r="X16" s="56"/>
    </row>
    <row r="17" spans="1:24" s="1" customFormat="1" ht="45" customHeight="1">
      <c r="A17" s="26" t="s">
        <v>48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37</v>
      </c>
      <c r="M17" s="28"/>
      <c r="N17" s="28" t="s">
        <v>49</v>
      </c>
      <c r="O17" s="28"/>
      <c r="P17" s="54">
        <f>15400000</f>
        <v>15400000</v>
      </c>
      <c r="Q17" s="54"/>
      <c r="R17" s="54"/>
      <c r="S17" s="54">
        <f>3875802.25</f>
        <v>3875802.25</v>
      </c>
      <c r="T17" s="54"/>
      <c r="U17" s="54"/>
      <c r="V17" s="54"/>
      <c r="W17" s="55">
        <f>11524197.75</f>
        <v>11524197.75</v>
      </c>
      <c r="X17" s="55"/>
    </row>
    <row r="18" spans="1:24" s="1" customFormat="1" ht="66" customHeight="1">
      <c r="A18" s="26" t="s">
        <v>50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37</v>
      </c>
      <c r="M18" s="28"/>
      <c r="N18" s="28" t="s">
        <v>51</v>
      </c>
      <c r="O18" s="28"/>
      <c r="P18" s="54">
        <f>840000</f>
        <v>840000</v>
      </c>
      <c r="Q18" s="54"/>
      <c r="R18" s="54"/>
      <c r="S18" s="54">
        <f>18812.63</f>
        <v>18812.63</v>
      </c>
      <c r="T18" s="54"/>
      <c r="U18" s="54"/>
      <c r="V18" s="54"/>
      <c r="W18" s="55">
        <f>821187.37</f>
        <v>821187.37</v>
      </c>
      <c r="X18" s="55"/>
    </row>
    <row r="19" spans="1:24" s="1" customFormat="1" ht="24" customHeight="1">
      <c r="A19" s="26" t="s">
        <v>52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37</v>
      </c>
      <c r="M19" s="28"/>
      <c r="N19" s="28" t="s">
        <v>53</v>
      </c>
      <c r="O19" s="28"/>
      <c r="P19" s="54">
        <f>180000</f>
        <v>180000</v>
      </c>
      <c r="Q19" s="54"/>
      <c r="R19" s="54"/>
      <c r="S19" s="54">
        <f>214362.48</f>
        <v>214362.48</v>
      </c>
      <c r="T19" s="54"/>
      <c r="U19" s="54"/>
      <c r="V19" s="54"/>
      <c r="W19" s="56" t="s">
        <v>47</v>
      </c>
      <c r="X19" s="56"/>
    </row>
    <row r="20" spans="1:24" s="1" customFormat="1" ht="54.75" customHeight="1">
      <c r="A20" s="26" t="s">
        <v>54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37</v>
      </c>
      <c r="M20" s="28"/>
      <c r="N20" s="28" t="s">
        <v>55</v>
      </c>
      <c r="O20" s="28"/>
      <c r="P20" s="54">
        <f>180000</f>
        <v>180000</v>
      </c>
      <c r="Q20" s="54"/>
      <c r="R20" s="54"/>
      <c r="S20" s="54">
        <f>22944.02</f>
        <v>22944.02</v>
      </c>
      <c r="T20" s="54"/>
      <c r="U20" s="54"/>
      <c r="V20" s="54"/>
      <c r="W20" s="55">
        <f>157055.98</f>
        <v>157055.98</v>
      </c>
      <c r="X20" s="55"/>
    </row>
    <row r="21" spans="1:24" s="1" customFormat="1" ht="13.5" customHeight="1">
      <c r="A21" s="26" t="s">
        <v>56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37</v>
      </c>
      <c r="M21" s="28"/>
      <c r="N21" s="28" t="s">
        <v>57</v>
      </c>
      <c r="O21" s="28"/>
      <c r="P21" s="54">
        <f>2035000</f>
        <v>2035000</v>
      </c>
      <c r="Q21" s="54"/>
      <c r="R21" s="54"/>
      <c r="S21" s="54">
        <f>1512865.5</f>
        <v>1512865.5</v>
      </c>
      <c r="T21" s="54"/>
      <c r="U21" s="54"/>
      <c r="V21" s="54"/>
      <c r="W21" s="55">
        <f>522134.5</f>
        <v>522134.5</v>
      </c>
      <c r="X21" s="55"/>
    </row>
    <row r="22" spans="1:24" s="1" customFormat="1" ht="24" customHeight="1">
      <c r="A22" s="26" t="s">
        <v>58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37</v>
      </c>
      <c r="M22" s="28"/>
      <c r="N22" s="28" t="s">
        <v>59</v>
      </c>
      <c r="O22" s="28"/>
      <c r="P22" s="54">
        <f>5600000</f>
        <v>5600000</v>
      </c>
      <c r="Q22" s="54"/>
      <c r="R22" s="54"/>
      <c r="S22" s="54">
        <f>175912.33</f>
        <v>175912.33</v>
      </c>
      <c r="T22" s="54"/>
      <c r="U22" s="54"/>
      <c r="V22" s="54"/>
      <c r="W22" s="55">
        <f>5424087.67</f>
        <v>5424087.67</v>
      </c>
      <c r="X22" s="55"/>
    </row>
    <row r="23" spans="1:24" s="1" customFormat="1" ht="24" customHeight="1">
      <c r="A23" s="26" t="s">
        <v>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37</v>
      </c>
      <c r="M23" s="28"/>
      <c r="N23" s="28" t="s">
        <v>61</v>
      </c>
      <c r="O23" s="28"/>
      <c r="P23" s="54">
        <f>1228000</f>
        <v>1228000</v>
      </c>
      <c r="Q23" s="54"/>
      <c r="R23" s="54"/>
      <c r="S23" s="54">
        <f>433105.05</f>
        <v>433105.05</v>
      </c>
      <c r="T23" s="54"/>
      <c r="U23" s="54"/>
      <c r="V23" s="54"/>
      <c r="W23" s="55">
        <f>794894.95</f>
        <v>794894.95</v>
      </c>
      <c r="X23" s="55"/>
    </row>
    <row r="24" spans="1:24" s="1" customFormat="1" ht="24" customHeight="1">
      <c r="A24" s="26" t="s">
        <v>62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37</v>
      </c>
      <c r="M24" s="28"/>
      <c r="N24" s="28" t="s">
        <v>63</v>
      </c>
      <c r="O24" s="28"/>
      <c r="P24" s="54">
        <f>7200000</f>
        <v>7200000</v>
      </c>
      <c r="Q24" s="54"/>
      <c r="R24" s="54"/>
      <c r="S24" s="54">
        <f>407302.23</f>
        <v>407302.23</v>
      </c>
      <c r="T24" s="54"/>
      <c r="U24" s="54"/>
      <c r="V24" s="54"/>
      <c r="W24" s="55">
        <f>6792697.77</f>
        <v>6792697.77</v>
      </c>
      <c r="X24" s="55"/>
    </row>
    <row r="25" spans="1:24" s="1" customFormat="1" ht="33.75" customHeight="1">
      <c r="A25" s="26" t="s">
        <v>64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37</v>
      </c>
      <c r="M25" s="28"/>
      <c r="N25" s="28" t="s">
        <v>65</v>
      </c>
      <c r="O25" s="28"/>
      <c r="P25" s="30" t="s">
        <v>47</v>
      </c>
      <c r="Q25" s="30"/>
      <c r="R25" s="30"/>
      <c r="S25" s="54">
        <f>64106.7</f>
        <v>64106.7</v>
      </c>
      <c r="T25" s="54"/>
      <c r="U25" s="54"/>
      <c r="V25" s="54"/>
      <c r="W25" s="56" t="s">
        <v>47</v>
      </c>
      <c r="X25" s="56"/>
    </row>
    <row r="26" spans="1:24" s="1" customFormat="1" ht="24" customHeight="1">
      <c r="A26" s="26" t="s">
        <v>66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37</v>
      </c>
      <c r="M26" s="28"/>
      <c r="N26" s="28" t="s">
        <v>67</v>
      </c>
      <c r="O26" s="28"/>
      <c r="P26" s="54">
        <f>414500</f>
        <v>414500</v>
      </c>
      <c r="Q26" s="54"/>
      <c r="R26" s="54"/>
      <c r="S26" s="54">
        <f>33485.73</f>
        <v>33485.73</v>
      </c>
      <c r="T26" s="54"/>
      <c r="U26" s="54"/>
      <c r="V26" s="54"/>
      <c r="W26" s="55">
        <f>381014.27</f>
        <v>381014.27</v>
      </c>
      <c r="X26" s="55"/>
    </row>
    <row r="27" spans="1:24" s="1" customFormat="1" ht="13.5" customHeight="1">
      <c r="A27" s="26" t="s">
        <v>68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37</v>
      </c>
      <c r="M27" s="28"/>
      <c r="N27" s="28" t="s">
        <v>69</v>
      </c>
      <c r="O27" s="28"/>
      <c r="P27" s="30" t="s">
        <v>47</v>
      </c>
      <c r="Q27" s="30"/>
      <c r="R27" s="30"/>
      <c r="S27" s="54">
        <f>20000</f>
        <v>20000</v>
      </c>
      <c r="T27" s="54"/>
      <c r="U27" s="54"/>
      <c r="V27" s="54"/>
      <c r="W27" s="56" t="s">
        <v>47</v>
      </c>
      <c r="X27" s="56"/>
    </row>
    <row r="28" spans="1:24" s="1" customFormat="1" ht="24" customHeight="1">
      <c r="A28" s="26" t="s">
        <v>70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37</v>
      </c>
      <c r="M28" s="28"/>
      <c r="N28" s="28" t="s">
        <v>71</v>
      </c>
      <c r="O28" s="28"/>
      <c r="P28" s="54">
        <f>9981400</f>
        <v>9981400</v>
      </c>
      <c r="Q28" s="54"/>
      <c r="R28" s="54"/>
      <c r="S28" s="54">
        <f>2495400</f>
        <v>2495400</v>
      </c>
      <c r="T28" s="54"/>
      <c r="U28" s="54"/>
      <c r="V28" s="54"/>
      <c r="W28" s="55">
        <f>7486000</f>
        <v>7486000</v>
      </c>
      <c r="X28" s="55"/>
    </row>
    <row r="29" spans="1:24" s="1" customFormat="1" ht="45" customHeight="1">
      <c r="A29" s="26" t="s">
        <v>72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37</v>
      </c>
      <c r="M29" s="28"/>
      <c r="N29" s="28" t="s">
        <v>73</v>
      </c>
      <c r="O29" s="28"/>
      <c r="P29" s="54">
        <f>2935700</f>
        <v>2935700</v>
      </c>
      <c r="Q29" s="54"/>
      <c r="R29" s="54"/>
      <c r="S29" s="30" t="s">
        <v>47</v>
      </c>
      <c r="T29" s="30"/>
      <c r="U29" s="30"/>
      <c r="V29" s="30"/>
      <c r="W29" s="55">
        <f>2935700</f>
        <v>2935700</v>
      </c>
      <c r="X29" s="55"/>
    </row>
    <row r="30" spans="1:24" s="1" customFormat="1" ht="24" customHeight="1">
      <c r="A30" s="26" t="s">
        <v>74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37</v>
      </c>
      <c r="M30" s="28"/>
      <c r="N30" s="28" t="s">
        <v>75</v>
      </c>
      <c r="O30" s="28"/>
      <c r="P30" s="54">
        <f>35473100</f>
        <v>35473100</v>
      </c>
      <c r="Q30" s="54"/>
      <c r="R30" s="54"/>
      <c r="S30" s="30" t="s">
        <v>47</v>
      </c>
      <c r="T30" s="30"/>
      <c r="U30" s="30"/>
      <c r="V30" s="30"/>
      <c r="W30" s="55">
        <f>35473100</f>
        <v>35473100</v>
      </c>
      <c r="X30" s="55"/>
    </row>
    <row r="31" spans="1:24" s="1" customFormat="1" ht="13.5" customHeight="1">
      <c r="A31" s="26" t="s">
        <v>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37</v>
      </c>
      <c r="M31" s="28"/>
      <c r="N31" s="28" t="s">
        <v>77</v>
      </c>
      <c r="O31" s="28"/>
      <c r="P31" s="54">
        <f>19886000</f>
        <v>19886000</v>
      </c>
      <c r="Q31" s="54"/>
      <c r="R31" s="54"/>
      <c r="S31" s="30" t="s">
        <v>47</v>
      </c>
      <c r="T31" s="30"/>
      <c r="U31" s="30"/>
      <c r="V31" s="30"/>
      <c r="W31" s="55">
        <f>19886000</f>
        <v>19886000</v>
      </c>
      <c r="X31" s="55"/>
    </row>
    <row r="32" spans="1:24" s="1" customFormat="1" ht="24" customHeight="1">
      <c r="A32" s="26" t="s">
        <v>78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8" t="s">
        <v>37</v>
      </c>
      <c r="M32" s="28"/>
      <c r="N32" s="28" t="s">
        <v>79</v>
      </c>
      <c r="O32" s="28"/>
      <c r="P32" s="54">
        <f>7600</f>
        <v>7600</v>
      </c>
      <c r="Q32" s="54"/>
      <c r="R32" s="54"/>
      <c r="S32" s="30" t="s">
        <v>47</v>
      </c>
      <c r="T32" s="30"/>
      <c r="U32" s="30"/>
      <c r="V32" s="30"/>
      <c r="W32" s="55">
        <f>7600</f>
        <v>7600</v>
      </c>
      <c r="X32" s="55"/>
    </row>
    <row r="33" spans="1:24" s="1" customFormat="1" ht="24" customHeight="1">
      <c r="A33" s="26" t="s">
        <v>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8" t="s">
        <v>37</v>
      </c>
      <c r="M33" s="28"/>
      <c r="N33" s="28" t="s">
        <v>81</v>
      </c>
      <c r="O33" s="28"/>
      <c r="P33" s="54">
        <f>424700</f>
        <v>424700</v>
      </c>
      <c r="Q33" s="54"/>
      <c r="R33" s="54"/>
      <c r="S33" s="54">
        <f>70704</f>
        <v>70704</v>
      </c>
      <c r="T33" s="54"/>
      <c r="U33" s="54"/>
      <c r="V33" s="54"/>
      <c r="W33" s="55">
        <f>353996</f>
        <v>353996</v>
      </c>
      <c r="X33" s="55"/>
    </row>
    <row r="34" spans="1:24" s="1" customFormat="1" ht="13.5" customHeight="1">
      <c r="A34" s="53" t="s">
        <v>18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s="1" customFormat="1" ht="13.5" customHeight="1">
      <c r="A35" s="42" t="s">
        <v>82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34.5" customHeight="1">
      <c r="A36" s="43" t="s">
        <v>24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 t="s">
        <v>25</v>
      </c>
      <c r="M36" s="43"/>
      <c r="N36" s="43" t="s">
        <v>83</v>
      </c>
      <c r="O36" s="43"/>
      <c r="P36" s="44" t="s">
        <v>27</v>
      </c>
      <c r="Q36" s="44"/>
      <c r="R36" s="44"/>
      <c r="S36" s="44" t="s">
        <v>28</v>
      </c>
      <c r="T36" s="44"/>
      <c r="U36" s="44"/>
      <c r="V36" s="44"/>
      <c r="W36" s="45" t="s">
        <v>29</v>
      </c>
      <c r="X36" s="45"/>
    </row>
    <row r="37" spans="1:24" s="1" customFormat="1" ht="13.5" customHeight="1">
      <c r="A37" s="39" t="s">
        <v>30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 t="s">
        <v>31</v>
      </c>
      <c r="M37" s="39"/>
      <c r="N37" s="39" t="s">
        <v>32</v>
      </c>
      <c r="O37" s="39"/>
      <c r="P37" s="40" t="s">
        <v>33</v>
      </c>
      <c r="Q37" s="40"/>
      <c r="R37" s="40"/>
      <c r="S37" s="40" t="s">
        <v>34</v>
      </c>
      <c r="T37" s="40"/>
      <c r="U37" s="40"/>
      <c r="V37" s="40"/>
      <c r="W37" s="41" t="s">
        <v>35</v>
      </c>
      <c r="X37" s="41"/>
    </row>
    <row r="38" spans="1:24" s="1" customFormat="1" ht="13.5" customHeight="1">
      <c r="A38" s="34" t="s">
        <v>84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5" t="s">
        <v>85</v>
      </c>
      <c r="M38" s="35"/>
      <c r="N38" s="35" t="s">
        <v>38</v>
      </c>
      <c r="O38" s="35"/>
      <c r="P38" s="37">
        <f>117938084.07</f>
        <v>117938084.07</v>
      </c>
      <c r="Q38" s="37"/>
      <c r="R38" s="37"/>
      <c r="S38" s="37">
        <f>12773973.87</f>
        <v>12773973.87</v>
      </c>
      <c r="T38" s="37"/>
      <c r="U38" s="37"/>
      <c r="V38" s="37"/>
      <c r="W38" s="52">
        <f>105164110.2</f>
        <v>105164110.2</v>
      </c>
      <c r="X38" s="52"/>
    </row>
    <row r="39" spans="1:24" s="1" customFormat="1" ht="13.5" customHeight="1">
      <c r="A39" s="14" t="s">
        <v>86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 t="s">
        <v>85</v>
      </c>
      <c r="M39" s="15"/>
      <c r="N39" s="15" t="s">
        <v>87</v>
      </c>
      <c r="O39" s="15"/>
      <c r="P39" s="17">
        <f>787400</f>
        <v>787400</v>
      </c>
      <c r="Q39" s="17"/>
      <c r="R39" s="17"/>
      <c r="S39" s="17">
        <f>217501</f>
        <v>217501</v>
      </c>
      <c r="T39" s="17"/>
      <c r="U39" s="17"/>
      <c r="V39" s="17"/>
      <c r="W39" s="50">
        <f>569899</f>
        <v>569899</v>
      </c>
      <c r="X39" s="50"/>
    </row>
    <row r="40" spans="1:24" s="1" customFormat="1" ht="33.75" customHeight="1">
      <c r="A40" s="14" t="s">
        <v>88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85</v>
      </c>
      <c r="M40" s="15"/>
      <c r="N40" s="15" t="s">
        <v>89</v>
      </c>
      <c r="O40" s="15"/>
      <c r="P40" s="17">
        <f>237800</f>
        <v>237800</v>
      </c>
      <c r="Q40" s="17"/>
      <c r="R40" s="17"/>
      <c r="S40" s="17">
        <f>51473.19</f>
        <v>51473.19</v>
      </c>
      <c r="T40" s="17"/>
      <c r="U40" s="17"/>
      <c r="V40" s="17"/>
      <c r="W40" s="50">
        <f>186326.81</f>
        <v>186326.81</v>
      </c>
      <c r="X40" s="50"/>
    </row>
    <row r="41" spans="1:24" s="1" customFormat="1" ht="13.5" customHeight="1">
      <c r="A41" s="14" t="s">
        <v>86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85</v>
      </c>
      <c r="M41" s="15"/>
      <c r="N41" s="15" t="s">
        <v>90</v>
      </c>
      <c r="O41" s="15"/>
      <c r="P41" s="17">
        <f>4967400</f>
        <v>4967400</v>
      </c>
      <c r="Q41" s="17"/>
      <c r="R41" s="17"/>
      <c r="S41" s="17">
        <f>1277636</f>
        <v>1277636</v>
      </c>
      <c r="T41" s="17"/>
      <c r="U41" s="17"/>
      <c r="V41" s="17"/>
      <c r="W41" s="50">
        <f>3689764</f>
        <v>3689764</v>
      </c>
      <c r="X41" s="50"/>
    </row>
    <row r="42" spans="1:24" s="1" customFormat="1" ht="24" customHeight="1">
      <c r="A42" s="14" t="s">
        <v>91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85</v>
      </c>
      <c r="M42" s="15"/>
      <c r="N42" s="15" t="s">
        <v>92</v>
      </c>
      <c r="O42" s="15"/>
      <c r="P42" s="17">
        <f>400</f>
        <v>400</v>
      </c>
      <c r="Q42" s="17"/>
      <c r="R42" s="17"/>
      <c r="S42" s="17">
        <f>150</f>
        <v>150</v>
      </c>
      <c r="T42" s="17"/>
      <c r="U42" s="17"/>
      <c r="V42" s="17"/>
      <c r="W42" s="50">
        <f>250</f>
        <v>250</v>
      </c>
      <c r="X42" s="50"/>
    </row>
    <row r="43" spans="1:24" s="1" customFormat="1" ht="33.75" customHeight="1">
      <c r="A43" s="14" t="s">
        <v>88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85</v>
      </c>
      <c r="M43" s="15"/>
      <c r="N43" s="15" t="s">
        <v>93</v>
      </c>
      <c r="O43" s="15"/>
      <c r="P43" s="17">
        <f>1500200</f>
        <v>1500200</v>
      </c>
      <c r="Q43" s="17"/>
      <c r="R43" s="17"/>
      <c r="S43" s="17">
        <f>388742.29</f>
        <v>388742.29</v>
      </c>
      <c r="T43" s="17"/>
      <c r="U43" s="17"/>
      <c r="V43" s="17"/>
      <c r="W43" s="50">
        <f>1111457.71</f>
        <v>1111457.71</v>
      </c>
      <c r="X43" s="50"/>
    </row>
    <row r="44" spans="1:24" s="1" customFormat="1" ht="13.5" customHeight="1">
      <c r="A44" s="14" t="s">
        <v>94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85</v>
      </c>
      <c r="M44" s="15"/>
      <c r="N44" s="15" t="s">
        <v>95</v>
      </c>
      <c r="O44" s="15"/>
      <c r="P44" s="17">
        <f>140000</f>
        <v>140000</v>
      </c>
      <c r="Q44" s="17"/>
      <c r="R44" s="17"/>
      <c r="S44" s="17">
        <f>87820.46</f>
        <v>87820.46</v>
      </c>
      <c r="T44" s="17"/>
      <c r="U44" s="17"/>
      <c r="V44" s="17"/>
      <c r="W44" s="50">
        <f>52179.54</f>
        <v>52179.54</v>
      </c>
      <c r="X44" s="50"/>
    </row>
    <row r="45" spans="1:24" s="1" customFormat="1" ht="13.5" customHeight="1">
      <c r="A45" s="14" t="s">
        <v>96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85</v>
      </c>
      <c r="M45" s="15"/>
      <c r="N45" s="15" t="s">
        <v>97</v>
      </c>
      <c r="O45" s="15"/>
      <c r="P45" s="17">
        <f>117000</f>
        <v>117000</v>
      </c>
      <c r="Q45" s="17"/>
      <c r="R45" s="17"/>
      <c r="S45" s="21" t="s">
        <v>47</v>
      </c>
      <c r="T45" s="21"/>
      <c r="U45" s="21"/>
      <c r="V45" s="21"/>
      <c r="W45" s="50">
        <f>117000</f>
        <v>117000</v>
      </c>
      <c r="X45" s="50"/>
    </row>
    <row r="46" spans="1:24" s="1" customFormat="1" ht="13.5" customHeight="1">
      <c r="A46" s="14" t="s">
        <v>98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85</v>
      </c>
      <c r="M46" s="15"/>
      <c r="N46" s="15" t="s">
        <v>99</v>
      </c>
      <c r="O46" s="15"/>
      <c r="P46" s="17">
        <f>300</f>
        <v>300</v>
      </c>
      <c r="Q46" s="17"/>
      <c r="R46" s="17"/>
      <c r="S46" s="21" t="s">
        <v>47</v>
      </c>
      <c r="T46" s="21"/>
      <c r="U46" s="21"/>
      <c r="V46" s="21"/>
      <c r="W46" s="50">
        <f>300</f>
        <v>300</v>
      </c>
      <c r="X46" s="50"/>
    </row>
    <row r="47" spans="1:24" s="1" customFormat="1" ht="13.5" customHeight="1">
      <c r="A47" s="14" t="s">
        <v>100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85</v>
      </c>
      <c r="M47" s="15"/>
      <c r="N47" s="15" t="s">
        <v>101</v>
      </c>
      <c r="O47" s="15"/>
      <c r="P47" s="17">
        <f>15000</f>
        <v>15000</v>
      </c>
      <c r="Q47" s="17"/>
      <c r="R47" s="17"/>
      <c r="S47" s="17">
        <f>14752.11</f>
        <v>14752.11</v>
      </c>
      <c r="T47" s="17"/>
      <c r="U47" s="17"/>
      <c r="V47" s="17"/>
      <c r="W47" s="50">
        <f>247.89</f>
        <v>247.89</v>
      </c>
      <c r="X47" s="50"/>
    </row>
    <row r="48" spans="1:24" s="1" customFormat="1" ht="13.5" customHeight="1">
      <c r="A48" s="14" t="s">
        <v>94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85</v>
      </c>
      <c r="M48" s="15"/>
      <c r="N48" s="15" t="s">
        <v>102</v>
      </c>
      <c r="O48" s="15"/>
      <c r="P48" s="17">
        <f>7600</f>
        <v>7600</v>
      </c>
      <c r="Q48" s="17"/>
      <c r="R48" s="17"/>
      <c r="S48" s="21" t="s">
        <v>47</v>
      </c>
      <c r="T48" s="21"/>
      <c r="U48" s="21"/>
      <c r="V48" s="21"/>
      <c r="W48" s="50">
        <f>7600</f>
        <v>7600</v>
      </c>
      <c r="X48" s="50"/>
    </row>
    <row r="49" spans="1:24" s="1" customFormat="1" ht="13.5" customHeight="1">
      <c r="A49" s="14" t="s">
        <v>96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85</v>
      </c>
      <c r="M49" s="15"/>
      <c r="N49" s="15" t="s">
        <v>103</v>
      </c>
      <c r="O49" s="15"/>
      <c r="P49" s="17">
        <f>75400</f>
        <v>75400</v>
      </c>
      <c r="Q49" s="17"/>
      <c r="R49" s="17"/>
      <c r="S49" s="17">
        <f>75400</f>
        <v>75400</v>
      </c>
      <c r="T49" s="17"/>
      <c r="U49" s="17"/>
      <c r="V49" s="17"/>
      <c r="W49" s="50">
        <f>0</f>
        <v>0</v>
      </c>
      <c r="X49" s="50"/>
    </row>
    <row r="50" spans="1:24" s="1" customFormat="1" ht="13.5" customHeight="1">
      <c r="A50" s="14" t="s">
        <v>98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85</v>
      </c>
      <c r="M50" s="15"/>
      <c r="N50" s="15" t="s">
        <v>104</v>
      </c>
      <c r="O50" s="15"/>
      <c r="P50" s="17">
        <f>4200</f>
        <v>4200</v>
      </c>
      <c r="Q50" s="17"/>
      <c r="R50" s="17"/>
      <c r="S50" s="17">
        <f>4144</f>
        <v>4144</v>
      </c>
      <c r="T50" s="17"/>
      <c r="U50" s="17"/>
      <c r="V50" s="17"/>
      <c r="W50" s="50">
        <f>56</f>
        <v>56</v>
      </c>
      <c r="X50" s="50"/>
    </row>
    <row r="51" spans="1:24" s="1" customFormat="1" ht="13.5" customHeight="1">
      <c r="A51" s="14" t="s">
        <v>105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85</v>
      </c>
      <c r="M51" s="15"/>
      <c r="N51" s="15" t="s">
        <v>106</v>
      </c>
      <c r="O51" s="15"/>
      <c r="P51" s="17">
        <f>323000</f>
        <v>323000</v>
      </c>
      <c r="Q51" s="17"/>
      <c r="R51" s="17"/>
      <c r="S51" s="17">
        <f>80750</f>
        <v>80750</v>
      </c>
      <c r="T51" s="17"/>
      <c r="U51" s="17"/>
      <c r="V51" s="17"/>
      <c r="W51" s="50">
        <f>242250</f>
        <v>242250</v>
      </c>
      <c r="X51" s="50"/>
    </row>
    <row r="52" spans="1:24" s="1" customFormat="1" ht="13.5" customHeight="1">
      <c r="A52" s="14" t="s">
        <v>107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85</v>
      </c>
      <c r="M52" s="15"/>
      <c r="N52" s="15" t="s">
        <v>108</v>
      </c>
      <c r="O52" s="15"/>
      <c r="P52" s="17">
        <f>40000</f>
        <v>40000</v>
      </c>
      <c r="Q52" s="17"/>
      <c r="R52" s="17"/>
      <c r="S52" s="21" t="s">
        <v>47</v>
      </c>
      <c r="T52" s="21"/>
      <c r="U52" s="21"/>
      <c r="V52" s="21"/>
      <c r="W52" s="50">
        <f>40000</f>
        <v>40000</v>
      </c>
      <c r="X52" s="50"/>
    </row>
    <row r="53" spans="1:24" s="1" customFormat="1" ht="13.5" customHeight="1">
      <c r="A53" s="14" t="s">
        <v>94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85</v>
      </c>
      <c r="M53" s="15"/>
      <c r="N53" s="15" t="s">
        <v>109</v>
      </c>
      <c r="O53" s="15"/>
      <c r="P53" s="17">
        <f>124700</f>
        <v>124700</v>
      </c>
      <c r="Q53" s="17"/>
      <c r="R53" s="17"/>
      <c r="S53" s="21" t="s">
        <v>47</v>
      </c>
      <c r="T53" s="21"/>
      <c r="U53" s="21"/>
      <c r="V53" s="21"/>
      <c r="W53" s="50">
        <f>124700</f>
        <v>124700</v>
      </c>
      <c r="X53" s="50"/>
    </row>
    <row r="54" spans="1:24" s="1" customFormat="1" ht="13.5" customHeight="1">
      <c r="A54" s="14" t="s">
        <v>110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85</v>
      </c>
      <c r="M54" s="15"/>
      <c r="N54" s="15" t="s">
        <v>111</v>
      </c>
      <c r="O54" s="15"/>
      <c r="P54" s="17">
        <f>4879500</f>
        <v>4879500</v>
      </c>
      <c r="Q54" s="17"/>
      <c r="R54" s="17"/>
      <c r="S54" s="17">
        <f>1221329</f>
        <v>1221329</v>
      </c>
      <c r="T54" s="17"/>
      <c r="U54" s="17"/>
      <c r="V54" s="17"/>
      <c r="W54" s="50">
        <f>3658171</f>
        <v>3658171</v>
      </c>
      <c r="X54" s="50"/>
    </row>
    <row r="55" spans="1:24" s="1" customFormat="1" ht="13.5" customHeight="1">
      <c r="A55" s="14" t="s">
        <v>112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85</v>
      </c>
      <c r="M55" s="15"/>
      <c r="N55" s="15" t="s">
        <v>113</v>
      </c>
      <c r="O55" s="15"/>
      <c r="P55" s="17">
        <f>200</f>
        <v>200</v>
      </c>
      <c r="Q55" s="17"/>
      <c r="R55" s="17"/>
      <c r="S55" s="17">
        <f>150</f>
        <v>150</v>
      </c>
      <c r="T55" s="17"/>
      <c r="U55" s="17"/>
      <c r="V55" s="17"/>
      <c r="W55" s="50">
        <f>50</f>
        <v>50</v>
      </c>
      <c r="X55" s="50"/>
    </row>
    <row r="56" spans="1:24" s="1" customFormat="1" ht="24" customHeight="1">
      <c r="A56" s="14" t="s">
        <v>114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85</v>
      </c>
      <c r="M56" s="15"/>
      <c r="N56" s="15" t="s">
        <v>115</v>
      </c>
      <c r="O56" s="15"/>
      <c r="P56" s="17">
        <f>1473600</f>
        <v>1473600</v>
      </c>
      <c r="Q56" s="17"/>
      <c r="R56" s="17"/>
      <c r="S56" s="17">
        <f>350701.14</f>
        <v>350701.14</v>
      </c>
      <c r="T56" s="17"/>
      <c r="U56" s="17"/>
      <c r="V56" s="17"/>
      <c r="W56" s="50">
        <f>1122898.86</f>
        <v>1122898.86</v>
      </c>
      <c r="X56" s="50"/>
    </row>
    <row r="57" spans="1:24" s="1" customFormat="1" ht="13.5" customHeight="1">
      <c r="A57" s="14" t="s">
        <v>94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85</v>
      </c>
      <c r="M57" s="15"/>
      <c r="N57" s="15" t="s">
        <v>116</v>
      </c>
      <c r="O57" s="15"/>
      <c r="P57" s="17">
        <f>2043000</f>
        <v>2043000</v>
      </c>
      <c r="Q57" s="17"/>
      <c r="R57" s="17"/>
      <c r="S57" s="17">
        <f>580015.35</f>
        <v>580015.35</v>
      </c>
      <c r="T57" s="17"/>
      <c r="U57" s="17"/>
      <c r="V57" s="17"/>
      <c r="W57" s="50">
        <f>1462984.65</f>
        <v>1462984.65</v>
      </c>
      <c r="X57" s="50"/>
    </row>
    <row r="58" spans="1:24" s="1" customFormat="1" ht="13.5" customHeight="1">
      <c r="A58" s="14" t="s">
        <v>98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85</v>
      </c>
      <c r="M58" s="15"/>
      <c r="N58" s="15" t="s">
        <v>117</v>
      </c>
      <c r="O58" s="15"/>
      <c r="P58" s="17">
        <f>5000</f>
        <v>5000</v>
      </c>
      <c r="Q58" s="17"/>
      <c r="R58" s="17"/>
      <c r="S58" s="21" t="s">
        <v>47</v>
      </c>
      <c r="T58" s="21"/>
      <c r="U58" s="21"/>
      <c r="V58" s="21"/>
      <c r="W58" s="50">
        <f>5000</f>
        <v>5000</v>
      </c>
      <c r="X58" s="50"/>
    </row>
    <row r="59" spans="1:24" s="1" customFormat="1" ht="13.5" customHeight="1">
      <c r="A59" s="14" t="s">
        <v>100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85</v>
      </c>
      <c r="M59" s="15"/>
      <c r="N59" s="15" t="s">
        <v>118</v>
      </c>
      <c r="O59" s="15"/>
      <c r="P59" s="17">
        <f>6000</f>
        <v>6000</v>
      </c>
      <c r="Q59" s="17"/>
      <c r="R59" s="17"/>
      <c r="S59" s="17">
        <f>601</f>
        <v>601</v>
      </c>
      <c r="T59" s="17"/>
      <c r="U59" s="17"/>
      <c r="V59" s="17"/>
      <c r="W59" s="50">
        <f>5399</f>
        <v>5399</v>
      </c>
      <c r="X59" s="50"/>
    </row>
    <row r="60" spans="1:24" s="1" customFormat="1" ht="13.5" customHeight="1">
      <c r="A60" s="14" t="s">
        <v>94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85</v>
      </c>
      <c r="M60" s="15"/>
      <c r="N60" s="15" t="s">
        <v>119</v>
      </c>
      <c r="O60" s="15"/>
      <c r="P60" s="17">
        <f>345917.18</f>
        <v>345917.18</v>
      </c>
      <c r="Q60" s="17"/>
      <c r="R60" s="17"/>
      <c r="S60" s="17">
        <f>345917.18</f>
        <v>345917.18</v>
      </c>
      <c r="T60" s="17"/>
      <c r="U60" s="17"/>
      <c r="V60" s="17"/>
      <c r="W60" s="50">
        <f>0</f>
        <v>0</v>
      </c>
      <c r="X60" s="50"/>
    </row>
    <row r="61" spans="1:24" s="1" customFormat="1" ht="13.5" customHeight="1">
      <c r="A61" s="14" t="s">
        <v>86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85</v>
      </c>
      <c r="M61" s="15"/>
      <c r="N61" s="15" t="s">
        <v>120</v>
      </c>
      <c r="O61" s="15"/>
      <c r="P61" s="17">
        <f>326200</f>
        <v>326200</v>
      </c>
      <c r="Q61" s="17"/>
      <c r="R61" s="17"/>
      <c r="S61" s="17">
        <f>55000</f>
        <v>55000</v>
      </c>
      <c r="T61" s="17"/>
      <c r="U61" s="17"/>
      <c r="V61" s="17"/>
      <c r="W61" s="50">
        <f>271200</f>
        <v>271200</v>
      </c>
      <c r="X61" s="50"/>
    </row>
    <row r="62" spans="1:24" s="1" customFormat="1" ht="33.75" customHeight="1">
      <c r="A62" s="14" t="s">
        <v>88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85</v>
      </c>
      <c r="M62" s="15"/>
      <c r="N62" s="15" t="s">
        <v>121</v>
      </c>
      <c r="O62" s="15"/>
      <c r="P62" s="17">
        <f>98500</f>
        <v>98500</v>
      </c>
      <c r="Q62" s="17"/>
      <c r="R62" s="17"/>
      <c r="S62" s="17">
        <f>15704</f>
        <v>15704</v>
      </c>
      <c r="T62" s="17"/>
      <c r="U62" s="17"/>
      <c r="V62" s="17"/>
      <c r="W62" s="50">
        <f>82796</f>
        <v>82796</v>
      </c>
      <c r="X62" s="50"/>
    </row>
    <row r="63" spans="1:24" s="1" customFormat="1" ht="13.5" customHeight="1">
      <c r="A63" s="14" t="s">
        <v>94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85</v>
      </c>
      <c r="M63" s="15"/>
      <c r="N63" s="15" t="s">
        <v>122</v>
      </c>
      <c r="O63" s="15"/>
      <c r="P63" s="17">
        <f>1000</f>
        <v>1000</v>
      </c>
      <c r="Q63" s="17"/>
      <c r="R63" s="17"/>
      <c r="S63" s="21" t="s">
        <v>47</v>
      </c>
      <c r="T63" s="21"/>
      <c r="U63" s="21"/>
      <c r="V63" s="21"/>
      <c r="W63" s="50">
        <f>1000</f>
        <v>1000</v>
      </c>
      <c r="X63" s="50"/>
    </row>
    <row r="64" spans="1:24" s="1" customFormat="1" ht="13.5" customHeight="1">
      <c r="A64" s="14" t="s">
        <v>94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85</v>
      </c>
      <c r="M64" s="15"/>
      <c r="N64" s="15" t="s">
        <v>123</v>
      </c>
      <c r="O64" s="15"/>
      <c r="P64" s="17">
        <f>97440</f>
        <v>97440</v>
      </c>
      <c r="Q64" s="17"/>
      <c r="R64" s="17"/>
      <c r="S64" s="17">
        <f>97440</f>
        <v>97440</v>
      </c>
      <c r="T64" s="17"/>
      <c r="U64" s="17"/>
      <c r="V64" s="17"/>
      <c r="W64" s="50">
        <f>0</f>
        <v>0</v>
      </c>
      <c r="X64" s="50"/>
    </row>
    <row r="65" spans="1:24" s="1" customFormat="1" ht="13.5" customHeight="1">
      <c r="A65" s="14" t="s">
        <v>94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85</v>
      </c>
      <c r="M65" s="15"/>
      <c r="N65" s="15" t="s">
        <v>124</v>
      </c>
      <c r="O65" s="15"/>
      <c r="P65" s="17">
        <f>2000</f>
        <v>2000</v>
      </c>
      <c r="Q65" s="17"/>
      <c r="R65" s="17"/>
      <c r="S65" s="21" t="s">
        <v>47</v>
      </c>
      <c r="T65" s="21"/>
      <c r="U65" s="21"/>
      <c r="V65" s="21"/>
      <c r="W65" s="50">
        <f>2000</f>
        <v>2000</v>
      </c>
      <c r="X65" s="50"/>
    </row>
    <row r="66" spans="1:24" s="1" customFormat="1" ht="13.5" customHeight="1">
      <c r="A66" s="14" t="s">
        <v>94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85</v>
      </c>
      <c r="M66" s="15"/>
      <c r="N66" s="15" t="s">
        <v>125</v>
      </c>
      <c r="O66" s="15"/>
      <c r="P66" s="17">
        <f>50000</f>
        <v>50000</v>
      </c>
      <c r="Q66" s="17"/>
      <c r="R66" s="17"/>
      <c r="S66" s="21" t="s">
        <v>47</v>
      </c>
      <c r="T66" s="21"/>
      <c r="U66" s="21"/>
      <c r="V66" s="21"/>
      <c r="W66" s="50">
        <f>50000</f>
        <v>50000</v>
      </c>
      <c r="X66" s="50"/>
    </row>
    <row r="67" spans="1:24" s="1" customFormat="1" ht="13.5" customHeight="1">
      <c r="A67" s="14" t="s">
        <v>126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85</v>
      </c>
      <c r="M67" s="15"/>
      <c r="N67" s="15" t="s">
        <v>127</v>
      </c>
      <c r="O67" s="15"/>
      <c r="P67" s="17">
        <f>60000</f>
        <v>60000</v>
      </c>
      <c r="Q67" s="17"/>
      <c r="R67" s="17"/>
      <c r="S67" s="21" t="s">
        <v>47</v>
      </c>
      <c r="T67" s="21"/>
      <c r="U67" s="21"/>
      <c r="V67" s="21"/>
      <c r="W67" s="50">
        <f>60000</f>
        <v>60000</v>
      </c>
      <c r="X67" s="50"/>
    </row>
    <row r="68" spans="1:24" s="1" customFormat="1" ht="13.5" customHeight="1">
      <c r="A68" s="14" t="s">
        <v>94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85</v>
      </c>
      <c r="M68" s="15"/>
      <c r="N68" s="15" t="s">
        <v>128</v>
      </c>
      <c r="O68" s="15"/>
      <c r="P68" s="17">
        <f>1598714.45</f>
        <v>1598714.45</v>
      </c>
      <c r="Q68" s="17"/>
      <c r="R68" s="17"/>
      <c r="S68" s="17">
        <f>323344.31</f>
        <v>323344.31</v>
      </c>
      <c r="T68" s="17"/>
      <c r="U68" s="17"/>
      <c r="V68" s="17"/>
      <c r="W68" s="50">
        <f>1275370.14</f>
        <v>1275370.14</v>
      </c>
      <c r="X68" s="50"/>
    </row>
    <row r="69" spans="1:24" s="1" customFormat="1" ht="13.5" customHeight="1">
      <c r="A69" s="14" t="s">
        <v>94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85</v>
      </c>
      <c r="M69" s="15"/>
      <c r="N69" s="15" t="s">
        <v>129</v>
      </c>
      <c r="O69" s="15"/>
      <c r="P69" s="17">
        <f>3300100</f>
        <v>3300100</v>
      </c>
      <c r="Q69" s="17"/>
      <c r="R69" s="17"/>
      <c r="S69" s="21" t="s">
        <v>47</v>
      </c>
      <c r="T69" s="21"/>
      <c r="U69" s="21"/>
      <c r="V69" s="21"/>
      <c r="W69" s="50">
        <f>3300100</f>
        <v>3300100</v>
      </c>
      <c r="X69" s="50"/>
    </row>
    <row r="70" spans="1:24" s="1" customFormat="1" ht="13.5" customHeight="1">
      <c r="A70" s="14" t="s">
        <v>94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85</v>
      </c>
      <c r="M70" s="15"/>
      <c r="N70" s="15" t="s">
        <v>130</v>
      </c>
      <c r="O70" s="15"/>
      <c r="P70" s="17">
        <f>11355200</f>
        <v>11355200</v>
      </c>
      <c r="Q70" s="17"/>
      <c r="R70" s="17"/>
      <c r="S70" s="21" t="s">
        <v>47</v>
      </c>
      <c r="T70" s="21"/>
      <c r="U70" s="21"/>
      <c r="V70" s="21"/>
      <c r="W70" s="50">
        <f>11355200</f>
        <v>11355200</v>
      </c>
      <c r="X70" s="50"/>
    </row>
    <row r="71" spans="1:24" s="1" customFormat="1" ht="13.5" customHeight="1">
      <c r="A71" s="14" t="s">
        <v>94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85</v>
      </c>
      <c r="M71" s="15"/>
      <c r="N71" s="15" t="s">
        <v>131</v>
      </c>
      <c r="O71" s="15"/>
      <c r="P71" s="17">
        <f>2050000</f>
        <v>2050000</v>
      </c>
      <c r="Q71" s="17"/>
      <c r="R71" s="17"/>
      <c r="S71" s="17">
        <f>718583.46</f>
        <v>718583.46</v>
      </c>
      <c r="T71" s="17"/>
      <c r="U71" s="17"/>
      <c r="V71" s="17"/>
      <c r="W71" s="50">
        <f>1331416.54</f>
        <v>1331416.54</v>
      </c>
      <c r="X71" s="50"/>
    </row>
    <row r="72" spans="1:24" s="1" customFormat="1" ht="13.5" customHeight="1">
      <c r="A72" s="14" t="s">
        <v>94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85</v>
      </c>
      <c r="M72" s="15"/>
      <c r="N72" s="15" t="s">
        <v>132</v>
      </c>
      <c r="O72" s="15"/>
      <c r="P72" s="17">
        <f>1000</f>
        <v>1000</v>
      </c>
      <c r="Q72" s="17"/>
      <c r="R72" s="17"/>
      <c r="S72" s="21" t="s">
        <v>47</v>
      </c>
      <c r="T72" s="21"/>
      <c r="U72" s="21"/>
      <c r="V72" s="21"/>
      <c r="W72" s="50">
        <f>1000</f>
        <v>1000</v>
      </c>
      <c r="X72" s="50"/>
    </row>
    <row r="73" spans="1:24" s="1" customFormat="1" ht="13.5" customHeight="1">
      <c r="A73" s="14" t="s">
        <v>94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85</v>
      </c>
      <c r="M73" s="15"/>
      <c r="N73" s="15" t="s">
        <v>133</v>
      </c>
      <c r="O73" s="15"/>
      <c r="P73" s="17">
        <f>30060</f>
        <v>30060</v>
      </c>
      <c r="Q73" s="17"/>
      <c r="R73" s="17"/>
      <c r="S73" s="17">
        <f>10023</f>
        <v>10023</v>
      </c>
      <c r="T73" s="17"/>
      <c r="U73" s="17"/>
      <c r="V73" s="17"/>
      <c r="W73" s="50">
        <f>20037</f>
        <v>20037</v>
      </c>
      <c r="X73" s="50"/>
    </row>
    <row r="74" spans="1:24" s="1" customFormat="1" ht="13.5" customHeight="1">
      <c r="A74" s="14" t="s">
        <v>100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85</v>
      </c>
      <c r="M74" s="15"/>
      <c r="N74" s="15" t="s">
        <v>134</v>
      </c>
      <c r="O74" s="15"/>
      <c r="P74" s="17">
        <f>20000</f>
        <v>20000</v>
      </c>
      <c r="Q74" s="17"/>
      <c r="R74" s="17"/>
      <c r="S74" s="17">
        <f>20000</f>
        <v>20000</v>
      </c>
      <c r="T74" s="17"/>
      <c r="U74" s="17"/>
      <c r="V74" s="17"/>
      <c r="W74" s="50">
        <f>0</f>
        <v>0</v>
      </c>
      <c r="X74" s="50"/>
    </row>
    <row r="75" spans="1:24" s="1" customFormat="1" ht="13.5" customHeight="1">
      <c r="A75" s="14" t="s">
        <v>94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85</v>
      </c>
      <c r="M75" s="15"/>
      <c r="N75" s="15" t="s">
        <v>135</v>
      </c>
      <c r="O75" s="15"/>
      <c r="P75" s="17">
        <f>300000</f>
        <v>300000</v>
      </c>
      <c r="Q75" s="17"/>
      <c r="R75" s="17"/>
      <c r="S75" s="21" t="s">
        <v>47</v>
      </c>
      <c r="T75" s="21"/>
      <c r="U75" s="21"/>
      <c r="V75" s="21"/>
      <c r="W75" s="50">
        <f>300000</f>
        <v>300000</v>
      </c>
      <c r="X75" s="50"/>
    </row>
    <row r="76" spans="1:24" s="1" customFormat="1" ht="13.5" customHeight="1">
      <c r="A76" s="14" t="s">
        <v>94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85</v>
      </c>
      <c r="M76" s="15"/>
      <c r="N76" s="15" t="s">
        <v>136</v>
      </c>
      <c r="O76" s="15"/>
      <c r="P76" s="17">
        <f>21500</f>
        <v>21500</v>
      </c>
      <c r="Q76" s="17"/>
      <c r="R76" s="17"/>
      <c r="S76" s="17">
        <f>5000</f>
        <v>5000</v>
      </c>
      <c r="T76" s="17"/>
      <c r="U76" s="17"/>
      <c r="V76" s="17"/>
      <c r="W76" s="50">
        <f>16500</f>
        <v>16500</v>
      </c>
      <c r="X76" s="50"/>
    </row>
    <row r="77" spans="1:24" s="1" customFormat="1" ht="33.75" customHeight="1">
      <c r="A77" s="14" t="s">
        <v>137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85</v>
      </c>
      <c r="M77" s="15"/>
      <c r="N77" s="15" t="s">
        <v>138</v>
      </c>
      <c r="O77" s="15"/>
      <c r="P77" s="17">
        <f>500000</f>
        <v>500000</v>
      </c>
      <c r="Q77" s="17"/>
      <c r="R77" s="17"/>
      <c r="S77" s="21" t="s">
        <v>47</v>
      </c>
      <c r="T77" s="21"/>
      <c r="U77" s="21"/>
      <c r="V77" s="21"/>
      <c r="W77" s="50">
        <f>500000</f>
        <v>500000</v>
      </c>
      <c r="X77" s="50"/>
    </row>
    <row r="78" spans="1:24" s="1" customFormat="1" ht="24" customHeight="1">
      <c r="A78" s="14" t="s">
        <v>139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85</v>
      </c>
      <c r="M78" s="15"/>
      <c r="N78" s="15" t="s">
        <v>140</v>
      </c>
      <c r="O78" s="15"/>
      <c r="P78" s="17">
        <f>1225000</f>
        <v>1225000</v>
      </c>
      <c r="Q78" s="17"/>
      <c r="R78" s="17"/>
      <c r="S78" s="17">
        <f>245000</f>
        <v>245000</v>
      </c>
      <c r="T78" s="17"/>
      <c r="U78" s="17"/>
      <c r="V78" s="17"/>
      <c r="W78" s="50">
        <f>980000</f>
        <v>980000</v>
      </c>
      <c r="X78" s="50"/>
    </row>
    <row r="79" spans="1:24" s="1" customFormat="1" ht="13.5" customHeight="1">
      <c r="A79" s="14" t="s">
        <v>94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85</v>
      </c>
      <c r="M79" s="15"/>
      <c r="N79" s="15" t="s">
        <v>141</v>
      </c>
      <c r="O79" s="15"/>
      <c r="P79" s="17">
        <f>7000</f>
        <v>7000</v>
      </c>
      <c r="Q79" s="17"/>
      <c r="R79" s="17"/>
      <c r="S79" s="17">
        <f>6990</f>
        <v>6990</v>
      </c>
      <c r="T79" s="17"/>
      <c r="U79" s="17"/>
      <c r="V79" s="17"/>
      <c r="W79" s="50">
        <f>10</f>
        <v>10</v>
      </c>
      <c r="X79" s="50"/>
    </row>
    <row r="80" spans="1:24" s="1" customFormat="1" ht="13.5" customHeight="1">
      <c r="A80" s="14" t="s">
        <v>94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85</v>
      </c>
      <c r="M80" s="15"/>
      <c r="N80" s="15" t="s">
        <v>142</v>
      </c>
      <c r="O80" s="15"/>
      <c r="P80" s="17">
        <f>40000</f>
        <v>40000</v>
      </c>
      <c r="Q80" s="17"/>
      <c r="R80" s="17"/>
      <c r="S80" s="17">
        <f>14427.83</f>
        <v>14427.83</v>
      </c>
      <c r="T80" s="17"/>
      <c r="U80" s="17"/>
      <c r="V80" s="17"/>
      <c r="W80" s="50">
        <f>25572.17</f>
        <v>25572.17</v>
      </c>
      <c r="X80" s="50"/>
    </row>
    <row r="81" spans="1:24" s="1" customFormat="1" ht="24" customHeight="1">
      <c r="A81" s="14" t="s">
        <v>139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85</v>
      </c>
      <c r="M81" s="15"/>
      <c r="N81" s="15" t="s">
        <v>143</v>
      </c>
      <c r="O81" s="15"/>
      <c r="P81" s="17">
        <f>10258900</f>
        <v>10258900</v>
      </c>
      <c r="Q81" s="17"/>
      <c r="R81" s="17"/>
      <c r="S81" s="21" t="s">
        <v>47</v>
      </c>
      <c r="T81" s="21"/>
      <c r="U81" s="21"/>
      <c r="V81" s="21"/>
      <c r="W81" s="50">
        <f>10258900</f>
        <v>10258900</v>
      </c>
      <c r="X81" s="50"/>
    </row>
    <row r="82" spans="1:24" s="1" customFormat="1" ht="13.5" customHeight="1">
      <c r="A82" s="14" t="s">
        <v>94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85</v>
      </c>
      <c r="M82" s="15"/>
      <c r="N82" s="15" t="s">
        <v>144</v>
      </c>
      <c r="O82" s="15"/>
      <c r="P82" s="17">
        <f>1800000</f>
        <v>1800000</v>
      </c>
      <c r="Q82" s="17"/>
      <c r="R82" s="17"/>
      <c r="S82" s="17">
        <f>382254.89</f>
        <v>382254.89</v>
      </c>
      <c r="T82" s="17"/>
      <c r="U82" s="17"/>
      <c r="V82" s="17"/>
      <c r="W82" s="50">
        <f>1417745.11</f>
        <v>1417745.11</v>
      </c>
      <c r="X82" s="50"/>
    </row>
    <row r="83" spans="1:24" s="1" customFormat="1" ht="13.5" customHeight="1">
      <c r="A83" s="14" t="s">
        <v>94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85</v>
      </c>
      <c r="M83" s="15"/>
      <c r="N83" s="15" t="s">
        <v>145</v>
      </c>
      <c r="O83" s="15"/>
      <c r="P83" s="17">
        <f>10000</f>
        <v>10000</v>
      </c>
      <c r="Q83" s="17"/>
      <c r="R83" s="17"/>
      <c r="S83" s="21" t="s">
        <v>47</v>
      </c>
      <c r="T83" s="21"/>
      <c r="U83" s="21"/>
      <c r="V83" s="21"/>
      <c r="W83" s="50">
        <f>10000</f>
        <v>10000</v>
      </c>
      <c r="X83" s="50"/>
    </row>
    <row r="84" spans="1:24" s="1" customFormat="1" ht="13.5" customHeight="1">
      <c r="A84" s="14" t="s">
        <v>94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85</v>
      </c>
      <c r="M84" s="15"/>
      <c r="N84" s="15" t="s">
        <v>146</v>
      </c>
      <c r="O84" s="15"/>
      <c r="P84" s="17">
        <f>50000</f>
        <v>50000</v>
      </c>
      <c r="Q84" s="17"/>
      <c r="R84" s="17"/>
      <c r="S84" s="21" t="s">
        <v>47</v>
      </c>
      <c r="T84" s="21"/>
      <c r="U84" s="21"/>
      <c r="V84" s="21"/>
      <c r="W84" s="50">
        <f>50000</f>
        <v>50000</v>
      </c>
      <c r="X84" s="50"/>
    </row>
    <row r="85" spans="1:24" s="1" customFormat="1" ht="13.5" customHeight="1">
      <c r="A85" s="14" t="s">
        <v>94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85</v>
      </c>
      <c r="M85" s="15"/>
      <c r="N85" s="15" t="s">
        <v>147</v>
      </c>
      <c r="O85" s="15"/>
      <c r="P85" s="21" t="s">
        <v>47</v>
      </c>
      <c r="Q85" s="21"/>
      <c r="R85" s="21"/>
      <c r="S85" s="17">
        <f>0</f>
        <v>0</v>
      </c>
      <c r="T85" s="17"/>
      <c r="U85" s="17"/>
      <c r="V85" s="17"/>
      <c r="W85" s="51" t="s">
        <v>47</v>
      </c>
      <c r="X85" s="51"/>
    </row>
    <row r="86" spans="1:24" s="1" customFormat="1" ht="13.5" customHeight="1">
      <c r="A86" s="14" t="s">
        <v>94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85</v>
      </c>
      <c r="M86" s="15"/>
      <c r="N86" s="15" t="s">
        <v>148</v>
      </c>
      <c r="O86" s="15"/>
      <c r="P86" s="17">
        <f>100000</f>
        <v>100000</v>
      </c>
      <c r="Q86" s="17"/>
      <c r="R86" s="17"/>
      <c r="S86" s="21" t="s">
        <v>47</v>
      </c>
      <c r="T86" s="21"/>
      <c r="U86" s="21"/>
      <c r="V86" s="21"/>
      <c r="W86" s="50">
        <f>100000</f>
        <v>100000</v>
      </c>
      <c r="X86" s="50"/>
    </row>
    <row r="87" spans="1:24" s="1" customFormat="1" ht="13.5" customHeight="1">
      <c r="A87" s="14" t="s">
        <v>94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85</v>
      </c>
      <c r="M87" s="15"/>
      <c r="N87" s="15" t="s">
        <v>149</v>
      </c>
      <c r="O87" s="15"/>
      <c r="P87" s="17">
        <f>100000</f>
        <v>100000</v>
      </c>
      <c r="Q87" s="17"/>
      <c r="R87" s="17"/>
      <c r="S87" s="21" t="s">
        <v>47</v>
      </c>
      <c r="T87" s="21"/>
      <c r="U87" s="21"/>
      <c r="V87" s="21"/>
      <c r="W87" s="50">
        <f>100000</f>
        <v>100000</v>
      </c>
      <c r="X87" s="50"/>
    </row>
    <row r="88" spans="1:24" s="1" customFormat="1" ht="24" customHeight="1">
      <c r="A88" s="14" t="s">
        <v>139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85</v>
      </c>
      <c r="M88" s="15"/>
      <c r="N88" s="15" t="s">
        <v>150</v>
      </c>
      <c r="O88" s="15"/>
      <c r="P88" s="17">
        <f>42243100</f>
        <v>42243100</v>
      </c>
      <c r="Q88" s="17"/>
      <c r="R88" s="17"/>
      <c r="S88" s="21" t="s">
        <v>47</v>
      </c>
      <c r="T88" s="21"/>
      <c r="U88" s="21"/>
      <c r="V88" s="21"/>
      <c r="W88" s="50">
        <f>42243100</f>
        <v>42243100</v>
      </c>
      <c r="X88" s="50"/>
    </row>
    <row r="89" spans="1:24" s="1" customFormat="1" ht="13.5" customHeight="1">
      <c r="A89" s="14" t="s">
        <v>94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85</v>
      </c>
      <c r="M89" s="15"/>
      <c r="N89" s="15" t="s">
        <v>151</v>
      </c>
      <c r="O89" s="15"/>
      <c r="P89" s="17">
        <f>50000</f>
        <v>50000</v>
      </c>
      <c r="Q89" s="17"/>
      <c r="R89" s="17"/>
      <c r="S89" s="21" t="s">
        <v>47</v>
      </c>
      <c r="T89" s="21"/>
      <c r="U89" s="21"/>
      <c r="V89" s="21"/>
      <c r="W89" s="50">
        <f>50000</f>
        <v>50000</v>
      </c>
      <c r="X89" s="50"/>
    </row>
    <row r="90" spans="1:24" s="1" customFormat="1" ht="13.5" customHeight="1">
      <c r="A90" s="14" t="s">
        <v>94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85</v>
      </c>
      <c r="M90" s="15"/>
      <c r="N90" s="15" t="s">
        <v>152</v>
      </c>
      <c r="O90" s="15"/>
      <c r="P90" s="17">
        <f>400000</f>
        <v>400000</v>
      </c>
      <c r="Q90" s="17"/>
      <c r="R90" s="17"/>
      <c r="S90" s="17">
        <f>51869.66</f>
        <v>51869.66</v>
      </c>
      <c r="T90" s="17"/>
      <c r="U90" s="17"/>
      <c r="V90" s="17"/>
      <c r="W90" s="50">
        <f>348130.34</f>
        <v>348130.34</v>
      </c>
      <c r="X90" s="50"/>
    </row>
    <row r="91" spans="1:24" s="1" customFormat="1" ht="24" customHeight="1">
      <c r="A91" s="14" t="s">
        <v>139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85</v>
      </c>
      <c r="M91" s="15"/>
      <c r="N91" s="15" t="s">
        <v>153</v>
      </c>
      <c r="O91" s="15"/>
      <c r="P91" s="17">
        <f>530100</f>
        <v>530100</v>
      </c>
      <c r="Q91" s="17"/>
      <c r="R91" s="17"/>
      <c r="S91" s="21" t="s">
        <v>47</v>
      </c>
      <c r="T91" s="21"/>
      <c r="U91" s="21"/>
      <c r="V91" s="21"/>
      <c r="W91" s="50">
        <f>530100</f>
        <v>530100</v>
      </c>
      <c r="X91" s="50"/>
    </row>
    <row r="92" spans="1:24" s="1" customFormat="1" ht="13.5" customHeight="1">
      <c r="A92" s="14" t="s">
        <v>94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85</v>
      </c>
      <c r="M92" s="15"/>
      <c r="N92" s="15" t="s">
        <v>154</v>
      </c>
      <c r="O92" s="15"/>
      <c r="P92" s="17">
        <f>2059952.32</f>
        <v>2059952.32</v>
      </c>
      <c r="Q92" s="17"/>
      <c r="R92" s="17"/>
      <c r="S92" s="17">
        <f>288517.66</f>
        <v>288517.66</v>
      </c>
      <c r="T92" s="17"/>
      <c r="U92" s="17"/>
      <c r="V92" s="17"/>
      <c r="W92" s="50">
        <f>1771434.66</f>
        <v>1771434.66</v>
      </c>
      <c r="X92" s="50"/>
    </row>
    <row r="93" spans="1:24" s="1" customFormat="1" ht="13.5" customHeight="1">
      <c r="A93" s="14" t="s">
        <v>94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85</v>
      </c>
      <c r="M93" s="15"/>
      <c r="N93" s="15" t="s">
        <v>155</v>
      </c>
      <c r="O93" s="15"/>
      <c r="P93" s="17">
        <f>580200</f>
        <v>580200</v>
      </c>
      <c r="Q93" s="17"/>
      <c r="R93" s="17"/>
      <c r="S93" s="17">
        <f>580155.44</f>
        <v>580155.44</v>
      </c>
      <c r="T93" s="17"/>
      <c r="U93" s="17"/>
      <c r="V93" s="17"/>
      <c r="W93" s="50">
        <f>44.56</f>
        <v>44.56</v>
      </c>
      <c r="X93" s="50"/>
    </row>
    <row r="94" spans="1:24" s="1" customFormat="1" ht="13.5" customHeight="1">
      <c r="A94" s="14" t="s">
        <v>94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85</v>
      </c>
      <c r="M94" s="15"/>
      <c r="N94" s="15" t="s">
        <v>156</v>
      </c>
      <c r="O94" s="15"/>
      <c r="P94" s="17">
        <f>3123100</f>
        <v>3123100</v>
      </c>
      <c r="Q94" s="17"/>
      <c r="R94" s="17"/>
      <c r="S94" s="21" t="s">
        <v>47</v>
      </c>
      <c r="T94" s="21"/>
      <c r="U94" s="21"/>
      <c r="V94" s="21"/>
      <c r="W94" s="50">
        <f>3123100</f>
        <v>3123100</v>
      </c>
      <c r="X94" s="50"/>
    </row>
    <row r="95" spans="1:24" s="1" customFormat="1" ht="13.5" customHeight="1">
      <c r="A95" s="14" t="s">
        <v>94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85</v>
      </c>
      <c r="M95" s="15"/>
      <c r="N95" s="15" t="s">
        <v>157</v>
      </c>
      <c r="O95" s="15"/>
      <c r="P95" s="17">
        <f>532500</f>
        <v>532500</v>
      </c>
      <c r="Q95" s="17"/>
      <c r="R95" s="17"/>
      <c r="S95" s="17">
        <f>252500</f>
        <v>252500</v>
      </c>
      <c r="T95" s="17"/>
      <c r="U95" s="17"/>
      <c r="V95" s="17"/>
      <c r="W95" s="50">
        <f>280000</f>
        <v>280000</v>
      </c>
      <c r="X95" s="50"/>
    </row>
    <row r="96" spans="1:24" s="1" customFormat="1" ht="13.5" customHeight="1">
      <c r="A96" s="14" t="s">
        <v>94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85</v>
      </c>
      <c r="M96" s="15"/>
      <c r="N96" s="15" t="s">
        <v>158</v>
      </c>
      <c r="O96" s="15"/>
      <c r="P96" s="17">
        <f>150000</f>
        <v>150000</v>
      </c>
      <c r="Q96" s="17"/>
      <c r="R96" s="17"/>
      <c r="S96" s="17">
        <f>150000</f>
        <v>150000</v>
      </c>
      <c r="T96" s="17"/>
      <c r="U96" s="17"/>
      <c r="V96" s="17"/>
      <c r="W96" s="50">
        <f>0</f>
        <v>0</v>
      </c>
      <c r="X96" s="50"/>
    </row>
    <row r="97" spans="1:24" s="1" customFormat="1" ht="33.75" customHeight="1">
      <c r="A97" s="14" t="s">
        <v>159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85</v>
      </c>
      <c r="M97" s="15"/>
      <c r="N97" s="15" t="s">
        <v>160</v>
      </c>
      <c r="O97" s="15"/>
      <c r="P97" s="17">
        <f>12715700</f>
        <v>12715700</v>
      </c>
      <c r="Q97" s="17"/>
      <c r="R97" s="17"/>
      <c r="S97" s="17">
        <f>3528923</f>
        <v>3528923</v>
      </c>
      <c r="T97" s="17"/>
      <c r="U97" s="17"/>
      <c r="V97" s="17"/>
      <c r="W97" s="50">
        <f>9186777</f>
        <v>9186777</v>
      </c>
      <c r="X97" s="50"/>
    </row>
    <row r="98" spans="1:24" s="1" customFormat="1" ht="33.75" customHeight="1">
      <c r="A98" s="14" t="s">
        <v>159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85</v>
      </c>
      <c r="M98" s="15"/>
      <c r="N98" s="15" t="s">
        <v>161</v>
      </c>
      <c r="O98" s="15"/>
      <c r="P98" s="17">
        <f>45000</f>
        <v>45000</v>
      </c>
      <c r="Q98" s="17"/>
      <c r="R98" s="17"/>
      <c r="S98" s="21" t="s">
        <v>47</v>
      </c>
      <c r="T98" s="21"/>
      <c r="U98" s="21"/>
      <c r="V98" s="21"/>
      <c r="W98" s="50">
        <f>45000</f>
        <v>45000</v>
      </c>
      <c r="X98" s="50"/>
    </row>
    <row r="99" spans="1:24" s="1" customFormat="1" ht="13.5" customHeight="1">
      <c r="A99" s="14" t="s">
        <v>126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85</v>
      </c>
      <c r="M99" s="15"/>
      <c r="N99" s="15" t="s">
        <v>162</v>
      </c>
      <c r="O99" s="15"/>
      <c r="P99" s="17">
        <f>212900.12</f>
        <v>212900.12</v>
      </c>
      <c r="Q99" s="17"/>
      <c r="R99" s="17"/>
      <c r="S99" s="17">
        <f>212900.12</f>
        <v>212900.12</v>
      </c>
      <c r="T99" s="17"/>
      <c r="U99" s="17"/>
      <c r="V99" s="17"/>
      <c r="W99" s="50">
        <f>0</f>
        <v>0</v>
      </c>
      <c r="X99" s="50"/>
    </row>
    <row r="100" spans="1:24" s="1" customFormat="1" ht="13.5" customHeight="1">
      <c r="A100" s="14" t="s">
        <v>94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85</v>
      </c>
      <c r="M100" s="15"/>
      <c r="N100" s="15" t="s">
        <v>163</v>
      </c>
      <c r="O100" s="15"/>
      <c r="P100" s="17">
        <f>180200</f>
        <v>180200</v>
      </c>
      <c r="Q100" s="17"/>
      <c r="R100" s="17"/>
      <c r="S100" s="17">
        <f>56250</f>
        <v>56250</v>
      </c>
      <c r="T100" s="17"/>
      <c r="U100" s="17"/>
      <c r="V100" s="17"/>
      <c r="W100" s="50">
        <f>123950</f>
        <v>123950</v>
      </c>
      <c r="X100" s="50"/>
    </row>
    <row r="101" spans="1:24" s="1" customFormat="1" ht="13.5" customHeight="1">
      <c r="A101" s="14" t="s">
        <v>94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85</v>
      </c>
      <c r="M101" s="15"/>
      <c r="N101" s="15" t="s">
        <v>164</v>
      </c>
      <c r="O101" s="15"/>
      <c r="P101" s="17">
        <f>200000</f>
        <v>200000</v>
      </c>
      <c r="Q101" s="17"/>
      <c r="R101" s="17"/>
      <c r="S101" s="21" t="s">
        <v>47</v>
      </c>
      <c r="T101" s="21"/>
      <c r="U101" s="21"/>
      <c r="V101" s="21"/>
      <c r="W101" s="50">
        <f>200000</f>
        <v>200000</v>
      </c>
      <c r="X101" s="50"/>
    </row>
    <row r="102" spans="1:24" s="1" customFormat="1" ht="13.5" customHeight="1">
      <c r="A102" s="14" t="s">
        <v>94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85</v>
      </c>
      <c r="M102" s="15"/>
      <c r="N102" s="15" t="s">
        <v>165</v>
      </c>
      <c r="O102" s="15"/>
      <c r="P102" s="17">
        <f>10000</f>
        <v>10000</v>
      </c>
      <c r="Q102" s="17"/>
      <c r="R102" s="17"/>
      <c r="S102" s="21" t="s">
        <v>47</v>
      </c>
      <c r="T102" s="21"/>
      <c r="U102" s="21"/>
      <c r="V102" s="21"/>
      <c r="W102" s="50">
        <f>10000</f>
        <v>10000</v>
      </c>
      <c r="X102" s="50"/>
    </row>
    <row r="103" spans="1:24" s="1" customFormat="1" ht="13.5" customHeight="1">
      <c r="A103" s="14" t="s">
        <v>94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85</v>
      </c>
      <c r="M103" s="15"/>
      <c r="N103" s="15" t="s">
        <v>166</v>
      </c>
      <c r="O103" s="15"/>
      <c r="P103" s="17">
        <f>19800</f>
        <v>19800</v>
      </c>
      <c r="Q103" s="17"/>
      <c r="R103" s="17"/>
      <c r="S103" s="17">
        <f>19770</f>
        <v>19770</v>
      </c>
      <c r="T103" s="17"/>
      <c r="U103" s="17"/>
      <c r="V103" s="17"/>
      <c r="W103" s="50">
        <f>30</f>
        <v>30</v>
      </c>
      <c r="X103" s="50"/>
    </row>
    <row r="104" spans="1:24" s="1" customFormat="1" ht="13.5" customHeight="1">
      <c r="A104" s="14" t="s">
        <v>167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85</v>
      </c>
      <c r="M104" s="15"/>
      <c r="N104" s="15" t="s">
        <v>168</v>
      </c>
      <c r="O104" s="15"/>
      <c r="P104" s="17">
        <f>300100</f>
        <v>300100</v>
      </c>
      <c r="Q104" s="17"/>
      <c r="R104" s="17"/>
      <c r="S104" s="17">
        <f>80025.24</f>
        <v>80025.24</v>
      </c>
      <c r="T104" s="17"/>
      <c r="U104" s="17"/>
      <c r="V104" s="17"/>
      <c r="W104" s="50">
        <f>220074.76</f>
        <v>220074.76</v>
      </c>
      <c r="X104" s="50"/>
    </row>
    <row r="105" spans="1:24" s="1" customFormat="1" ht="33.75" customHeight="1">
      <c r="A105" s="14" t="s">
        <v>159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85</v>
      </c>
      <c r="M105" s="15"/>
      <c r="N105" s="15" t="s">
        <v>169</v>
      </c>
      <c r="O105" s="15"/>
      <c r="P105" s="17">
        <f>1521900</f>
        <v>1521900</v>
      </c>
      <c r="Q105" s="17"/>
      <c r="R105" s="17"/>
      <c r="S105" s="17">
        <f>507300</f>
        <v>507300</v>
      </c>
      <c r="T105" s="17"/>
      <c r="U105" s="17"/>
      <c r="V105" s="17"/>
      <c r="W105" s="50">
        <f>1014600</f>
        <v>1014600</v>
      </c>
      <c r="X105" s="50"/>
    </row>
    <row r="106" spans="1:24" s="1" customFormat="1" ht="24" customHeight="1">
      <c r="A106" s="14" t="s">
        <v>170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85</v>
      </c>
      <c r="M106" s="15"/>
      <c r="N106" s="15" t="s">
        <v>171</v>
      </c>
      <c r="O106" s="15"/>
      <c r="P106" s="17">
        <f>1700000</f>
        <v>1700000</v>
      </c>
      <c r="Q106" s="17"/>
      <c r="R106" s="17"/>
      <c r="S106" s="17">
        <f>146342.58</f>
        <v>146342.58</v>
      </c>
      <c r="T106" s="17"/>
      <c r="U106" s="17"/>
      <c r="V106" s="17"/>
      <c r="W106" s="50">
        <f>1553657.42</f>
        <v>1553657.42</v>
      </c>
      <c r="X106" s="50"/>
    </row>
    <row r="107" spans="1:24" s="1" customFormat="1" ht="13.5" customHeight="1">
      <c r="A107" s="14" t="s">
        <v>94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85</v>
      </c>
      <c r="M107" s="15"/>
      <c r="N107" s="15" t="s">
        <v>172</v>
      </c>
      <c r="O107" s="15"/>
      <c r="P107" s="17">
        <f>490200</f>
        <v>490200</v>
      </c>
      <c r="Q107" s="17"/>
      <c r="R107" s="17"/>
      <c r="S107" s="17">
        <f>135541</f>
        <v>135541</v>
      </c>
      <c r="T107" s="17"/>
      <c r="U107" s="17"/>
      <c r="V107" s="17"/>
      <c r="W107" s="50">
        <f>354659</f>
        <v>354659</v>
      </c>
      <c r="X107" s="50"/>
    </row>
    <row r="108" spans="1:24" s="1" customFormat="1" ht="13.5" customHeight="1">
      <c r="A108" s="14" t="s">
        <v>94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85</v>
      </c>
      <c r="M108" s="15"/>
      <c r="N108" s="15" t="s">
        <v>173</v>
      </c>
      <c r="O108" s="15"/>
      <c r="P108" s="17">
        <f>105500</f>
        <v>105500</v>
      </c>
      <c r="Q108" s="17"/>
      <c r="R108" s="17"/>
      <c r="S108" s="17">
        <f>105500</f>
        <v>105500</v>
      </c>
      <c r="T108" s="17"/>
      <c r="U108" s="17"/>
      <c r="V108" s="17"/>
      <c r="W108" s="50">
        <f>0</f>
        <v>0</v>
      </c>
      <c r="X108" s="50"/>
    </row>
    <row r="109" spans="1:24" s="1" customFormat="1" ht="13.5" customHeight="1">
      <c r="A109" s="14" t="s">
        <v>174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85</v>
      </c>
      <c r="M109" s="15"/>
      <c r="N109" s="15" t="s">
        <v>175</v>
      </c>
      <c r="O109" s="15"/>
      <c r="P109" s="17">
        <f>271600</f>
        <v>271600</v>
      </c>
      <c r="Q109" s="17"/>
      <c r="R109" s="17"/>
      <c r="S109" s="17">
        <f>67528.96</f>
        <v>67528.96</v>
      </c>
      <c r="T109" s="17"/>
      <c r="U109" s="17"/>
      <c r="V109" s="17"/>
      <c r="W109" s="50">
        <f>204071.04</f>
        <v>204071.04</v>
      </c>
      <c r="X109" s="50"/>
    </row>
    <row r="110" spans="1:24" s="1" customFormat="1" ht="15" customHeight="1">
      <c r="A110" s="46" t="s">
        <v>176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7" t="s">
        <v>177</v>
      </c>
      <c r="M110" s="47"/>
      <c r="N110" s="47" t="s">
        <v>38</v>
      </c>
      <c r="O110" s="47"/>
      <c r="P110" s="48">
        <f>-10150984.07</f>
        <v>-10150984.07</v>
      </c>
      <c r="Q110" s="48"/>
      <c r="R110" s="48"/>
      <c r="S110" s="48">
        <f>-2207727.97</f>
        <v>-2207727.97</v>
      </c>
      <c r="T110" s="48"/>
      <c r="U110" s="48"/>
      <c r="V110" s="48"/>
      <c r="W110" s="49" t="s">
        <v>38</v>
      </c>
      <c r="X110" s="49"/>
    </row>
    <row r="111" spans="1:24" s="1" customFormat="1" ht="13.5" customHeight="1">
      <c r="A111" s="9" t="s">
        <v>18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s="1" customFormat="1" ht="13.5" customHeight="1">
      <c r="A112" s="42" t="s">
        <v>178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1:24" s="1" customFormat="1" ht="45.75" customHeight="1">
      <c r="A113" s="43" t="s">
        <v>24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 t="s">
        <v>25</v>
      </c>
      <c r="M113" s="43"/>
      <c r="N113" s="43" t="s">
        <v>179</v>
      </c>
      <c r="O113" s="43"/>
      <c r="P113" s="44" t="s">
        <v>27</v>
      </c>
      <c r="Q113" s="44"/>
      <c r="R113" s="44"/>
      <c r="S113" s="44" t="s">
        <v>28</v>
      </c>
      <c r="T113" s="44"/>
      <c r="U113" s="44"/>
      <c r="V113" s="44"/>
      <c r="W113" s="45" t="s">
        <v>29</v>
      </c>
      <c r="X113" s="45"/>
    </row>
    <row r="114" spans="1:24" s="1" customFormat="1" ht="12.75" customHeight="1">
      <c r="A114" s="39" t="s">
        <v>30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 t="s">
        <v>31</v>
      </c>
      <c r="M114" s="39"/>
      <c r="N114" s="39" t="s">
        <v>32</v>
      </c>
      <c r="O114" s="39"/>
      <c r="P114" s="40" t="s">
        <v>33</v>
      </c>
      <c r="Q114" s="40"/>
      <c r="R114" s="40"/>
      <c r="S114" s="40" t="s">
        <v>34</v>
      </c>
      <c r="T114" s="40"/>
      <c r="U114" s="40"/>
      <c r="V114" s="40"/>
      <c r="W114" s="41" t="s">
        <v>35</v>
      </c>
      <c r="X114" s="41"/>
    </row>
    <row r="115" spans="1:24" s="1" customFormat="1" ht="13.5" customHeight="1">
      <c r="A115" s="34" t="s">
        <v>180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5" t="s">
        <v>181</v>
      </c>
      <c r="M115" s="35"/>
      <c r="N115" s="35" t="s">
        <v>38</v>
      </c>
      <c r="O115" s="35"/>
      <c r="P115" s="36">
        <f>10150984.07</f>
        <v>10150984.07</v>
      </c>
      <c r="Q115" s="36"/>
      <c r="R115" s="36"/>
      <c r="S115" s="37">
        <f>2207727.97</f>
        <v>2207727.97</v>
      </c>
      <c r="T115" s="37"/>
      <c r="U115" s="37"/>
      <c r="V115" s="37"/>
      <c r="W115" s="38" t="s">
        <v>38</v>
      </c>
      <c r="X115" s="38"/>
    </row>
    <row r="116" spans="1:24" s="1" customFormat="1" ht="13.5" customHeight="1">
      <c r="A116" s="32" t="s">
        <v>182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23" t="s">
        <v>18</v>
      </c>
      <c r="M116" s="23"/>
      <c r="N116" s="23" t="s">
        <v>18</v>
      </c>
      <c r="O116" s="23"/>
      <c r="P116" s="24" t="s">
        <v>18</v>
      </c>
      <c r="Q116" s="24"/>
      <c r="R116" s="24"/>
      <c r="S116" s="33" t="s">
        <v>18</v>
      </c>
      <c r="T116" s="33"/>
      <c r="U116" s="33"/>
      <c r="V116" s="33"/>
      <c r="W116" s="25" t="s">
        <v>18</v>
      </c>
      <c r="X116" s="25"/>
    </row>
    <row r="117" spans="1:24" s="1" customFormat="1" ht="13.5" customHeight="1">
      <c r="A117" s="26" t="s">
        <v>183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7" t="s">
        <v>184</v>
      </c>
      <c r="M117" s="27"/>
      <c r="N117" s="28" t="s">
        <v>38</v>
      </c>
      <c r="O117" s="28"/>
      <c r="P117" s="29">
        <f>-500000</f>
        <v>-500000</v>
      </c>
      <c r="Q117" s="29"/>
      <c r="R117" s="29"/>
      <c r="S117" s="30" t="s">
        <v>47</v>
      </c>
      <c r="T117" s="30"/>
      <c r="U117" s="30"/>
      <c r="V117" s="30"/>
      <c r="W117" s="31">
        <f>-500000</f>
        <v>-500000</v>
      </c>
      <c r="X117" s="31"/>
    </row>
    <row r="118" spans="1:24" s="1" customFormat="1" ht="24" customHeight="1">
      <c r="A118" s="14" t="s">
        <v>185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 t="s">
        <v>184</v>
      </c>
      <c r="M118" s="15"/>
      <c r="N118" s="15" t="s">
        <v>186</v>
      </c>
      <c r="O118" s="15"/>
      <c r="P118" s="16">
        <f>-500000</f>
        <v>-500000</v>
      </c>
      <c r="Q118" s="16"/>
      <c r="R118" s="16"/>
      <c r="S118" s="21" t="s">
        <v>47</v>
      </c>
      <c r="T118" s="21"/>
      <c r="U118" s="21"/>
      <c r="V118" s="21"/>
      <c r="W118" s="19">
        <f>-500000</f>
        <v>-500000</v>
      </c>
      <c r="X118" s="19"/>
    </row>
    <row r="119" spans="1:24" s="1" customFormat="1" ht="13.5" customHeight="1">
      <c r="A119" s="14" t="s">
        <v>187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23" t="s">
        <v>188</v>
      </c>
      <c r="M119" s="23"/>
      <c r="N119" s="23" t="s">
        <v>38</v>
      </c>
      <c r="O119" s="23"/>
      <c r="P119" s="24" t="s">
        <v>47</v>
      </c>
      <c r="Q119" s="24"/>
      <c r="R119" s="24"/>
      <c r="S119" s="21" t="s">
        <v>47</v>
      </c>
      <c r="T119" s="21"/>
      <c r="U119" s="21"/>
      <c r="V119" s="21"/>
      <c r="W119" s="25" t="s">
        <v>47</v>
      </c>
      <c r="X119" s="25"/>
    </row>
    <row r="120" spans="1:24" s="1" customFormat="1" ht="13.5" customHeight="1">
      <c r="A120" s="14" t="s">
        <v>18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 t="s">
        <v>188</v>
      </c>
      <c r="M120" s="15"/>
      <c r="N120" s="15" t="s">
        <v>18</v>
      </c>
      <c r="O120" s="15"/>
      <c r="P120" s="20" t="s">
        <v>47</v>
      </c>
      <c r="Q120" s="20"/>
      <c r="R120" s="20"/>
      <c r="S120" s="21" t="s">
        <v>47</v>
      </c>
      <c r="T120" s="21"/>
      <c r="U120" s="21"/>
      <c r="V120" s="21"/>
      <c r="W120" s="22" t="s">
        <v>47</v>
      </c>
      <c r="X120" s="22"/>
    </row>
    <row r="121" spans="1:24" s="1" customFormat="1" ht="13.5" customHeight="1">
      <c r="A121" s="14" t="s">
        <v>189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5" t="s">
        <v>190</v>
      </c>
      <c r="M121" s="15"/>
      <c r="N121" s="15" t="s">
        <v>191</v>
      </c>
      <c r="O121" s="15"/>
      <c r="P121" s="16">
        <f>10650984.07</f>
        <v>10650984.07</v>
      </c>
      <c r="Q121" s="16"/>
      <c r="R121" s="16"/>
      <c r="S121" s="17">
        <f>2207727.97</f>
        <v>2207727.97</v>
      </c>
      <c r="T121" s="17"/>
      <c r="U121" s="17"/>
      <c r="V121" s="17"/>
      <c r="W121" s="19">
        <f>8443256.1</f>
        <v>8443256.1</v>
      </c>
      <c r="X121" s="19"/>
    </row>
    <row r="122" spans="1:24" s="1" customFormat="1" ht="13.5" customHeight="1">
      <c r="A122" s="14" t="s">
        <v>192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 t="s">
        <v>193</v>
      </c>
      <c r="M122" s="15"/>
      <c r="N122" s="15" t="s">
        <v>194</v>
      </c>
      <c r="O122" s="15"/>
      <c r="P122" s="16">
        <f>-107787100</f>
        <v>-107787100</v>
      </c>
      <c r="Q122" s="16"/>
      <c r="R122" s="16"/>
      <c r="S122" s="17">
        <f>-10581789.87</f>
        <v>-10581789.87</v>
      </c>
      <c r="T122" s="17"/>
      <c r="U122" s="17"/>
      <c r="V122" s="17"/>
      <c r="W122" s="18" t="s">
        <v>38</v>
      </c>
      <c r="X122" s="18"/>
    </row>
    <row r="123" spans="1:24" s="1" customFormat="1" ht="13.5" customHeight="1">
      <c r="A123" s="14" t="s">
        <v>195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 t="s">
        <v>196</v>
      </c>
      <c r="M123" s="15"/>
      <c r="N123" s="15" t="s">
        <v>197</v>
      </c>
      <c r="O123" s="15"/>
      <c r="P123" s="16">
        <f>118438084.07</f>
        <v>118438084.07</v>
      </c>
      <c r="Q123" s="16"/>
      <c r="R123" s="16"/>
      <c r="S123" s="17">
        <f>12789517.84</f>
        <v>12789517.84</v>
      </c>
      <c r="T123" s="17"/>
      <c r="U123" s="17"/>
      <c r="V123" s="17"/>
      <c r="W123" s="18" t="s">
        <v>38</v>
      </c>
      <c r="X123" s="18"/>
    </row>
    <row r="124" spans="1:24" s="1" customFormat="1" ht="13.5" customHeight="1">
      <c r="A124" s="13" t="s">
        <v>18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s="1" customFormat="1" ht="13.5" customHeight="1">
      <c r="A125" s="9" t="s">
        <v>18</v>
      </c>
      <c r="B125" s="9"/>
      <c r="C125" s="9"/>
      <c r="D125" s="9"/>
      <c r="E125" s="9"/>
      <c r="F125" s="9"/>
      <c r="G125" s="9"/>
      <c r="H125" s="9"/>
      <c r="I125" s="12" t="s">
        <v>18</v>
      </c>
      <c r="J125" s="12"/>
      <c r="K125" s="12"/>
      <c r="L125" s="12"/>
      <c r="M125" s="12"/>
      <c r="N125" s="12" t="s">
        <v>198</v>
      </c>
      <c r="O125" s="12"/>
      <c r="P125" s="12"/>
      <c r="Q125" s="12"/>
      <c r="R125" s="9" t="s">
        <v>18</v>
      </c>
      <c r="S125" s="9"/>
      <c r="T125" s="9"/>
      <c r="U125" s="9"/>
      <c r="V125" s="9"/>
      <c r="W125" s="9"/>
      <c r="X125" s="9"/>
    </row>
    <row r="126" spans="1:24" s="1" customFormat="1" ht="13.5" customHeight="1">
      <c r="A126" s="9" t="s">
        <v>18</v>
      </c>
      <c r="B126" s="9"/>
      <c r="C126" s="9"/>
      <c r="D126" s="9"/>
      <c r="E126" s="9"/>
      <c r="F126" s="9"/>
      <c r="G126" s="9"/>
      <c r="H126" s="9"/>
      <c r="I126" s="5" t="s">
        <v>18</v>
      </c>
      <c r="J126" s="11" t="s">
        <v>199</v>
      </c>
      <c r="K126" s="11"/>
      <c r="L126" s="11"/>
      <c r="M126" s="5" t="s">
        <v>18</v>
      </c>
      <c r="N126" s="5" t="s">
        <v>18</v>
      </c>
      <c r="O126" s="11" t="s">
        <v>200</v>
      </c>
      <c r="P126" s="11"/>
      <c r="Q126" s="9" t="s">
        <v>18</v>
      </c>
      <c r="R126" s="9"/>
      <c r="S126" s="9"/>
      <c r="T126" s="9"/>
      <c r="U126" s="9"/>
      <c r="V126" s="9"/>
      <c r="W126" s="9"/>
      <c r="X126" s="9"/>
    </row>
    <row r="127" spans="1:24" s="1" customFormat="1" ht="7.5" customHeight="1">
      <c r="A127" s="9" t="s">
        <v>18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s="1" customFormat="1" ht="13.5" customHeight="1">
      <c r="A128" s="9" t="s">
        <v>18</v>
      </c>
      <c r="B128" s="9"/>
      <c r="C128" s="9"/>
      <c r="D128" s="9"/>
      <c r="E128" s="9"/>
      <c r="F128" s="9"/>
      <c r="G128" s="9"/>
      <c r="H128" s="9"/>
      <c r="I128" s="12" t="s">
        <v>18</v>
      </c>
      <c r="J128" s="12"/>
      <c r="K128" s="12"/>
      <c r="L128" s="12"/>
      <c r="M128" s="12"/>
      <c r="N128" s="12" t="s">
        <v>201</v>
      </c>
      <c r="O128" s="12"/>
      <c r="P128" s="12"/>
      <c r="Q128" s="12"/>
      <c r="R128" s="9" t="s">
        <v>18</v>
      </c>
      <c r="S128" s="9"/>
      <c r="T128" s="9"/>
      <c r="U128" s="9"/>
      <c r="V128" s="9"/>
      <c r="W128" s="9"/>
      <c r="X128" s="9"/>
    </row>
    <row r="129" spans="1:24" s="1" customFormat="1" ht="13.5" customHeight="1">
      <c r="A129" s="9" t="s">
        <v>18</v>
      </c>
      <c r="B129" s="9"/>
      <c r="C129" s="9"/>
      <c r="D129" s="9"/>
      <c r="E129" s="9"/>
      <c r="F129" s="9"/>
      <c r="G129" s="9"/>
      <c r="H129" s="9"/>
      <c r="I129" s="5" t="s">
        <v>18</v>
      </c>
      <c r="J129" s="11" t="s">
        <v>199</v>
      </c>
      <c r="K129" s="11"/>
      <c r="L129" s="11"/>
      <c r="M129" s="5" t="s">
        <v>18</v>
      </c>
      <c r="N129" s="5" t="s">
        <v>18</v>
      </c>
      <c r="O129" s="11" t="s">
        <v>200</v>
      </c>
      <c r="P129" s="11"/>
      <c r="Q129" s="9" t="s">
        <v>18</v>
      </c>
      <c r="R129" s="9"/>
      <c r="S129" s="9"/>
      <c r="T129" s="9"/>
      <c r="U129" s="9"/>
      <c r="V129" s="9"/>
      <c r="W129" s="9"/>
      <c r="X129" s="9"/>
    </row>
    <row r="130" spans="1:24" s="1" customFormat="1" ht="7.5" customHeight="1">
      <c r="A130" s="9" t="s">
        <v>18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1" customFormat="1" ht="13.5" customHeight="1">
      <c r="A131" s="9" t="s">
        <v>202</v>
      </c>
      <c r="B131" s="9"/>
      <c r="C131" s="12" t="s">
        <v>18</v>
      </c>
      <c r="D131" s="12"/>
      <c r="E131" s="12"/>
      <c r="F131" s="12"/>
      <c r="G131" s="12"/>
      <c r="H131" s="12"/>
      <c r="I131" s="12" t="s">
        <v>18</v>
      </c>
      <c r="J131" s="12"/>
      <c r="K131" s="12"/>
      <c r="L131" s="12"/>
      <c r="M131" s="12"/>
      <c r="N131" s="12" t="s">
        <v>203</v>
      </c>
      <c r="O131" s="12"/>
      <c r="P131" s="12"/>
      <c r="Q131" s="12"/>
      <c r="R131" s="9" t="s">
        <v>18</v>
      </c>
      <c r="S131" s="9"/>
      <c r="T131" s="9"/>
      <c r="U131" s="9"/>
      <c r="V131" s="9"/>
      <c r="W131" s="9"/>
      <c r="X131" s="9"/>
    </row>
    <row r="132" spans="1:24" s="1" customFormat="1" ht="13.5" customHeight="1">
      <c r="A132" s="9" t="s">
        <v>18</v>
      </c>
      <c r="B132" s="9"/>
      <c r="C132" s="5" t="s">
        <v>18</v>
      </c>
      <c r="D132" s="11" t="s">
        <v>204</v>
      </c>
      <c r="E132" s="11"/>
      <c r="F132" s="11"/>
      <c r="G132" s="11"/>
      <c r="H132" s="5" t="s">
        <v>18</v>
      </c>
      <c r="I132" s="5" t="s">
        <v>18</v>
      </c>
      <c r="J132" s="11" t="s">
        <v>199</v>
      </c>
      <c r="K132" s="11"/>
      <c r="L132" s="11"/>
      <c r="M132" s="5" t="s">
        <v>18</v>
      </c>
      <c r="N132" s="5" t="s">
        <v>18</v>
      </c>
      <c r="O132" s="11" t="s">
        <v>200</v>
      </c>
      <c r="P132" s="11"/>
      <c r="Q132" s="9" t="s">
        <v>18</v>
      </c>
      <c r="R132" s="9"/>
      <c r="S132" s="9"/>
      <c r="T132" s="9"/>
      <c r="U132" s="9"/>
      <c r="V132" s="9"/>
      <c r="W132" s="9"/>
      <c r="X132" s="9"/>
    </row>
    <row r="133" spans="1:24" s="1" customFormat="1" ht="15.75" customHeight="1">
      <c r="A133" s="9" t="s">
        <v>18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s="1" customFormat="1" ht="13.5" customHeight="1">
      <c r="A134" s="59">
        <v>43922</v>
      </c>
      <c r="B134" s="8"/>
      <c r="C134" s="8"/>
      <c r="D134" s="8"/>
      <c r="E134" s="8"/>
      <c r="F134" s="8"/>
      <c r="G134" s="8"/>
      <c r="H134" s="8"/>
      <c r="I134" s="8"/>
      <c r="J134" s="8"/>
      <c r="K134" s="9" t="s">
        <v>18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1" customFormat="1" ht="13.5" customHeight="1">
      <c r="A135" s="10" t="s">
        <v>205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</sheetData>
  <sheetProtection/>
  <mergeCells count="713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X34"/>
    <mergeCell ref="A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K107"/>
    <mergeCell ref="L107:M107"/>
    <mergeCell ref="N107:O107"/>
    <mergeCell ref="P107:R107"/>
    <mergeCell ref="S107:V107"/>
    <mergeCell ref="W107:X107"/>
    <mergeCell ref="A108:K108"/>
    <mergeCell ref="L108:M108"/>
    <mergeCell ref="N108:O108"/>
    <mergeCell ref="P108:R108"/>
    <mergeCell ref="S108:V108"/>
    <mergeCell ref="W108:X108"/>
    <mergeCell ref="A109:K109"/>
    <mergeCell ref="L109:M109"/>
    <mergeCell ref="N109:O109"/>
    <mergeCell ref="P109:R109"/>
    <mergeCell ref="S109:V109"/>
    <mergeCell ref="W109:X109"/>
    <mergeCell ref="A110:K110"/>
    <mergeCell ref="L110:M110"/>
    <mergeCell ref="N110:O110"/>
    <mergeCell ref="P110:R110"/>
    <mergeCell ref="S110:V110"/>
    <mergeCell ref="W110:X110"/>
    <mergeCell ref="A111:X111"/>
    <mergeCell ref="A112:X112"/>
    <mergeCell ref="A113:K113"/>
    <mergeCell ref="L113:M113"/>
    <mergeCell ref="N113:O113"/>
    <mergeCell ref="P113:R113"/>
    <mergeCell ref="S113:V113"/>
    <mergeCell ref="W113:X113"/>
    <mergeCell ref="A114:K114"/>
    <mergeCell ref="L114:M114"/>
    <mergeCell ref="N114:O114"/>
    <mergeCell ref="P114:R114"/>
    <mergeCell ref="S114:V114"/>
    <mergeCell ref="W114:X114"/>
    <mergeCell ref="A115:K115"/>
    <mergeCell ref="L115:M115"/>
    <mergeCell ref="N115:O115"/>
    <mergeCell ref="P115:R115"/>
    <mergeCell ref="S115:V115"/>
    <mergeCell ref="W115:X115"/>
    <mergeCell ref="A116:K116"/>
    <mergeCell ref="L116:M116"/>
    <mergeCell ref="N116:O116"/>
    <mergeCell ref="P116:R116"/>
    <mergeCell ref="S116:V116"/>
    <mergeCell ref="W116:X116"/>
    <mergeCell ref="A117:K117"/>
    <mergeCell ref="L117:M117"/>
    <mergeCell ref="N117:O117"/>
    <mergeCell ref="P117:R117"/>
    <mergeCell ref="S117:V117"/>
    <mergeCell ref="W117:X117"/>
    <mergeCell ref="A118:K118"/>
    <mergeCell ref="L118:M118"/>
    <mergeCell ref="N118:O118"/>
    <mergeCell ref="P118:R118"/>
    <mergeCell ref="S118:V118"/>
    <mergeCell ref="W118:X118"/>
    <mergeCell ref="A119:K119"/>
    <mergeCell ref="L119:M119"/>
    <mergeCell ref="N119:O119"/>
    <mergeCell ref="P119:R119"/>
    <mergeCell ref="S119:V119"/>
    <mergeCell ref="W119:X119"/>
    <mergeCell ref="A120:K120"/>
    <mergeCell ref="L120:M120"/>
    <mergeCell ref="N120:O120"/>
    <mergeCell ref="P120:R120"/>
    <mergeCell ref="S120:V120"/>
    <mergeCell ref="W120:X120"/>
    <mergeCell ref="A121:K121"/>
    <mergeCell ref="L121:M121"/>
    <mergeCell ref="N121:O121"/>
    <mergeCell ref="P121:R121"/>
    <mergeCell ref="S121:V121"/>
    <mergeCell ref="W121:X121"/>
    <mergeCell ref="A122:K122"/>
    <mergeCell ref="L122:M122"/>
    <mergeCell ref="N122:O122"/>
    <mergeCell ref="P122:R122"/>
    <mergeCell ref="S122:V122"/>
    <mergeCell ref="W122:X122"/>
    <mergeCell ref="A123:K123"/>
    <mergeCell ref="L123:M123"/>
    <mergeCell ref="N123:O123"/>
    <mergeCell ref="P123:R123"/>
    <mergeCell ref="S123:V123"/>
    <mergeCell ref="W123:X123"/>
    <mergeCell ref="A124:X124"/>
    <mergeCell ref="A125:H125"/>
    <mergeCell ref="I125:M125"/>
    <mergeCell ref="N125:Q125"/>
    <mergeCell ref="R125:X125"/>
    <mergeCell ref="A126:H126"/>
    <mergeCell ref="J126:L126"/>
    <mergeCell ref="O126:P126"/>
    <mergeCell ref="Q126:X126"/>
    <mergeCell ref="A127:X127"/>
    <mergeCell ref="A128:H128"/>
    <mergeCell ref="I128:M128"/>
    <mergeCell ref="N128:Q128"/>
    <mergeCell ref="R128:X128"/>
    <mergeCell ref="A129:H129"/>
    <mergeCell ref="J129:L129"/>
    <mergeCell ref="O129:P129"/>
    <mergeCell ref="Q129:X129"/>
    <mergeCell ref="A130:X130"/>
    <mergeCell ref="A131:B131"/>
    <mergeCell ref="C131:H131"/>
    <mergeCell ref="I131:M131"/>
    <mergeCell ref="N131:Q131"/>
    <mergeCell ref="R131:X131"/>
    <mergeCell ref="A134:J134"/>
    <mergeCell ref="K134:X134"/>
    <mergeCell ref="A135:X135"/>
    <mergeCell ref="A132:B132"/>
    <mergeCell ref="D132:G132"/>
    <mergeCell ref="J132:L132"/>
    <mergeCell ref="O132:P132"/>
    <mergeCell ref="Q132:X132"/>
    <mergeCell ref="A133:X13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11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2021-02-17T08:38:26Z</dcterms:created>
  <dcterms:modified xsi:type="dcterms:W3CDTF">2021-02-17T10:44:05Z</dcterms:modified>
  <cp:category/>
  <cp:version/>
  <cp:contentType/>
  <cp:contentStatus/>
</cp:coreProperties>
</file>